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Fall 2019\"/>
    </mc:Choice>
  </mc:AlternateContent>
  <bookViews>
    <workbookView xWindow="0" yWindow="0" windowWidth="20490" windowHeight="7605"/>
  </bookViews>
  <sheets>
    <sheet name="Sheet 1" sheetId="1" r:id="rId1"/>
    <sheet name="Chk" sheetId="3" r:id="rId2"/>
  </sheets>
  <calcPr calcId="162913"/>
</workbook>
</file>

<file path=xl/calcChain.xml><?xml version="1.0" encoding="utf-8"?>
<calcChain xmlns="http://schemas.openxmlformats.org/spreadsheetml/2006/main">
  <c r="I38" i="1" l="1"/>
  <c r="I40" i="1" s="1"/>
  <c r="H38" i="1"/>
  <c r="H40" i="1" s="1"/>
  <c r="I32" i="1"/>
  <c r="I34" i="1" s="1"/>
  <c r="H32" i="1"/>
  <c r="H34" i="1" s="1"/>
  <c r="H12" i="1"/>
  <c r="I12" i="1"/>
  <c r="I19" i="1"/>
  <c r="I7" i="1"/>
  <c r="I18" i="1"/>
  <c r="I21" i="1"/>
  <c r="I13" i="1"/>
  <c r="C38" i="1"/>
  <c r="C32" i="1"/>
  <c r="B38" i="1"/>
  <c r="B32" i="1"/>
  <c r="I15" i="1" l="1"/>
  <c r="H15" i="1"/>
  <c r="I17" i="1"/>
  <c r="H17" i="1"/>
  <c r="H19" i="1" l="1"/>
  <c r="H18" i="1"/>
  <c r="H14" i="1" l="1"/>
  <c r="H13" i="1"/>
  <c r="H9" i="1"/>
  <c r="H5" i="1" l="1"/>
  <c r="H24" i="1" s="1"/>
  <c r="I20" i="1"/>
  <c r="I14" i="1"/>
  <c r="I9" i="1"/>
  <c r="I10" i="1"/>
  <c r="I6" i="1"/>
  <c r="I5" i="1"/>
  <c r="I24" i="1" s="1"/>
  <c r="C37" i="1"/>
  <c r="B37" i="1"/>
  <c r="C19" i="1"/>
  <c r="C6" i="1"/>
  <c r="B19" i="1"/>
  <c r="B7" i="1"/>
  <c r="B6" i="1"/>
  <c r="J22" i="1" l="1"/>
  <c r="D26" i="1"/>
  <c r="J35" i="1" l="1"/>
  <c r="K35" i="1" s="1"/>
  <c r="J39" i="1"/>
  <c r="K39" i="1" s="1"/>
  <c r="J41" i="1"/>
  <c r="K41" i="1" s="1"/>
  <c r="J33" i="1"/>
  <c r="K33" i="1" s="1"/>
  <c r="D40" i="1" l="1"/>
  <c r="E40" i="1" s="1"/>
  <c r="C24" i="1" l="1"/>
  <c r="D22" i="1" l="1"/>
  <c r="E22" i="1" s="1"/>
  <c r="D23" i="1" l="1"/>
  <c r="E23" i="1" s="1"/>
  <c r="B24" i="1"/>
  <c r="J48" i="1" l="1"/>
  <c r="B8" i="3"/>
  <c r="J45" i="1"/>
  <c r="B3" i="3"/>
  <c r="C3" i="3"/>
  <c r="C8" i="3"/>
  <c r="J26" i="1"/>
  <c r="D25" i="1"/>
  <c r="E25" i="1" s="1"/>
  <c r="B27" i="1" l="1"/>
  <c r="B4" i="3" s="1"/>
  <c r="J46" i="1" l="1"/>
  <c r="K44" i="1"/>
  <c r="F8" i="3"/>
  <c r="F3" i="3"/>
  <c r="I27" i="1"/>
  <c r="F4" i="3" s="1"/>
  <c r="J44" i="1"/>
  <c r="E8" i="3"/>
  <c r="E3" i="3"/>
  <c r="H27" i="1"/>
  <c r="D35" i="1"/>
  <c r="E35" i="1" s="1"/>
  <c r="D34" i="1"/>
  <c r="E34" i="1" s="1"/>
  <c r="D33" i="1"/>
  <c r="E33" i="1" s="1"/>
  <c r="D32" i="1"/>
  <c r="E32" i="1" s="1"/>
  <c r="E4" i="3" l="1"/>
  <c r="J47" i="1"/>
  <c r="C36" i="1"/>
  <c r="F6" i="3" s="1"/>
  <c r="B36" i="1"/>
  <c r="E6" i="3" s="1"/>
  <c r="D21" i="1" l="1"/>
  <c r="E21" i="1" s="1"/>
  <c r="J32" i="1" l="1"/>
  <c r="K32" i="1" s="1"/>
  <c r="J34" i="1"/>
  <c r="K34" i="1" s="1"/>
  <c r="J12" i="1" l="1"/>
  <c r="K12" i="1" s="1"/>
  <c r="D41" i="1"/>
  <c r="E41" i="1" s="1"/>
  <c r="D39" i="1"/>
  <c r="E39" i="1" s="1"/>
  <c r="D38" i="1"/>
  <c r="E38" i="1" s="1"/>
  <c r="J27" i="1"/>
  <c r="K27" i="1" s="1"/>
  <c r="J25" i="1"/>
  <c r="K25" i="1" s="1"/>
  <c r="J18" i="1"/>
  <c r="K18" i="1" s="1"/>
  <c r="K46" i="1"/>
  <c r="D20" i="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<sst xmlns="http://schemas.openxmlformats.org/spreadsheetml/2006/main" count="136" uniqueCount="99">
  <si>
    <t>Change</t>
  </si>
  <si>
    <t>%</t>
  </si>
  <si>
    <t>School</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</si>
  <si>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</si>
  <si>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</si>
  <si>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</si>
  <si>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</si>
  <si>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</si>
  <si>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</si>
  <si>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</si>
  <si>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</si>
  <si>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</si>
  <si>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</si>
  <si>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</si>
  <si>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</si>
  <si>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</si>
  <si>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</si>
  <si>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</si>
  <si>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</si>
  <si>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</si>
  <si>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</si>
  <si>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</si>
  <si>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</si>
  <si>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</si>
  <si>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</si>
  <si>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</si>
  <si>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</si>
  <si>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</si>
  <si>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</si>
  <si>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</si>
  <si>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</si>
  <si>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</si>
  <si>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</si>
  <si>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</si>
  <si>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</si>
  <si>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</si>
  <si>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</si>
  <si>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</si>
  <si>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</si>
  <si>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</si>
  <si>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</si>
  <si>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</si>
  <si>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Source:  IRDS Point-in-Cycle, Registrar, and UIRR Reports</t>
  </si>
  <si>
    <t>IUPUI Honors College</t>
  </si>
  <si>
    <t>IUPUI Combined#</t>
  </si>
  <si>
    <t>n/a</t>
  </si>
  <si>
    <t>Informatics &amp; Computing</t>
  </si>
  <si>
    <t>Liberal Arts</t>
  </si>
  <si>
    <t>Health &amp; Human Sci *</t>
  </si>
  <si>
    <t xml:space="preserve">**Total also adjusted for students enrolled in degrees offered through the Graduate School but who also have been distributed to schools housing their programs. Heads are counted only once in IN Total.  Credits are not affected.  </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</si>
  <si>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</si>
  <si>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</si>
  <si>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</si>
  <si>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</si>
  <si>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</si>
  <si>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</si>
  <si>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</si>
  <si>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</si>
  <si>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</si>
  <si>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</si>
  <si>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</si>
  <si>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</si>
  <si>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t>IU Online</t>
  </si>
  <si>
    <t>Doctoral-Practice</t>
  </si>
  <si>
    <t>Doctoral-Research</t>
  </si>
  <si>
    <t>Undistributed Grad**</t>
  </si>
  <si>
    <t>Admin Tracking Group</t>
  </si>
  <si>
    <t>4/9/2018</t>
  </si>
  <si>
    <t>Fall 2019</t>
  </si>
  <si>
    <t>4/8/2019</t>
  </si>
  <si>
    <t>* Fall 2018 headcount and credit hour totals represent the sum of School of Health and Rehabilitation Sciences and School of Physical Education and Tourism Management. Though the merger became official on July 1, 2018, snapshots leading to the beginning of the semester still reflected a split.</t>
  </si>
  <si>
    <t>Kelley Business</t>
  </si>
  <si>
    <t>IU Ft. Wayne***</t>
  </si>
  <si>
    <t>O' Neil SPEA</t>
  </si>
  <si>
    <t>O'Neil SPEA</t>
  </si>
  <si>
    <t>-16 grad/prof</t>
  </si>
  <si>
    <t>-4 non-degree</t>
  </si>
  <si>
    <t>+0 non-degree</t>
  </si>
  <si>
    <t>+7 ug</t>
  </si>
  <si>
    <t>-52 ug; -5 grad; -1 non-degree</t>
  </si>
  <si>
    <t>-2 ug; -1 grad; +1 non-degree</t>
  </si>
  <si>
    <t>-52 ug; -161 grad; +2 non-degree</t>
  </si>
  <si>
    <t>+12 ug; +36 grad/prof; +0 non-degree</t>
  </si>
  <si>
    <t>-5 ug; -5 grad</t>
  </si>
  <si>
    <t>-27 ug; -4 grad</t>
  </si>
  <si>
    <t>+47 ug; -8 grad/prof</t>
  </si>
  <si>
    <r>
      <t xml:space="preserve">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 As of 4/8/2019, three students had been term activated under Honor's College plans.  These students have been moved to the correct schools.</t>
    </r>
  </si>
  <si>
    <t>Office of Institutional Research and Decision Support 4/10/2019</t>
  </si>
  <si>
    <t xml:space="preserve">*** Registration at IU Ft. Wayne began after the Spring 2018 smester for Fall 2018. Numbers will not be comparable June. </t>
  </si>
  <si>
    <t>-78 ug; +11 grad</t>
  </si>
  <si>
    <t>-15 ug; +0 grad</t>
  </si>
  <si>
    <t>-15 ug; -1 grad/prof</t>
  </si>
  <si>
    <t>-47 ug; -8 grad</t>
  </si>
  <si>
    <t>-43 ug; +8 hs; +9 non-degree</t>
  </si>
  <si>
    <t>+11 ug; +5 grad; -13 non-degree</t>
  </si>
  <si>
    <t>-80 ug; +2 grad</t>
  </si>
  <si>
    <t>+15 ug; +19 grad</t>
  </si>
  <si>
    <t>IN Total#</t>
  </si>
  <si>
    <t>#Students enrolled at multiple campuses or in multiple schools and careers are counted twice at this time. Credits are not affected.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</si>
</sst>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1"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53">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style="thin">
        <color indexed="64"/>
      </left>
      <right/>
      <top/>
      <bottom/>
      <diagonal/>
    </border>
    <border>
      <left/>
      <right/>
      <top style="medium">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thick">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s>
  <cellStyleXfs count="3">
    <xf numFmtId="0" fontId="0" fillId="0" borderId="0"/>
    <xf numFmtId="0" fontId="10" fillId="0" borderId="0"/>
    <xf numFmtId="0" fontId="11" fillId="0" borderId="0"/>
  </cellStyleXfs>
  <cellXfs count="206">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2"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3" fillId="0" borderId="0" xfId="0" applyNumberFormat="1" applyFont="1" applyFill="1" applyBorder="1" applyAlignment="1">
      <alignment horizontal="center" wrapText="1"/>
    </xf>
    <xf numFmtId="3" fontId="0" fillId="0" borderId="0" xfId="0" applyNumberFormat="1" applyAlignment="1">
      <alignment horizontal="center"/>
    </xf>
    <xf numFmtId="164" fontId="14" fillId="0" borderId="1" xfId="0" applyNumberFormat="1" applyFont="1" applyBorder="1" applyAlignment="1">
      <alignment horizontal="center"/>
    </xf>
    <xf numFmtId="164" fontId="14"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4" fillId="0" borderId="4" xfId="0" applyFont="1" applyFill="1" applyBorder="1"/>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49" fontId="16" fillId="3" borderId="8" xfId="0" applyNumberFormat="1" applyFont="1" applyFill="1" applyBorder="1" applyAlignment="1">
      <alignment horizontal="center"/>
    </xf>
    <xf numFmtId="164" fontId="11" fillId="2" borderId="0" xfId="0" applyNumberFormat="1" applyFont="1" applyFill="1" applyBorder="1" applyAlignment="1">
      <alignment horizontal="right" vertical="center" wrapText="1"/>
    </xf>
    <xf numFmtId="0" fontId="14" fillId="0" borderId="4" xfId="0" applyFont="1" applyFill="1" applyBorder="1" applyAlignment="1">
      <alignment vertical="center"/>
    </xf>
    <xf numFmtId="0" fontId="14" fillId="2" borderId="0" xfId="0" applyFont="1" applyFill="1" applyBorder="1"/>
    <xf numFmtId="0" fontId="14" fillId="2" borderId="0" xfId="0" applyFont="1" applyFill="1" applyBorder="1" applyAlignment="1">
      <alignment vertical="center"/>
    </xf>
    <xf numFmtId="0" fontId="0" fillId="2" borderId="0" xfId="0" applyFill="1" applyBorder="1" applyAlignment="1">
      <alignment vertical="center"/>
    </xf>
    <xf numFmtId="164" fontId="17"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19" fillId="0" borderId="0" xfId="0" applyFont="1"/>
    <xf numFmtId="164" fontId="14" fillId="0" borderId="11" xfId="0" applyNumberFormat="1" applyFont="1" applyBorder="1" applyAlignment="1">
      <alignment horizontal="center"/>
    </xf>
    <xf numFmtId="164" fontId="14" fillId="0" borderId="12" xfId="0" applyNumberFormat="1" applyFont="1" applyBorder="1" applyAlignment="1">
      <alignment horizontal="center"/>
    </xf>
    <xf numFmtId="0" fontId="16" fillId="2" borderId="4" xfId="0" applyFont="1" applyFill="1" applyBorder="1"/>
    <xf numFmtId="0" fontId="16" fillId="5" borderId="13" xfId="0" applyFont="1" applyFill="1" applyBorder="1"/>
    <xf numFmtId="0" fontId="14" fillId="0" borderId="4" xfId="0" applyFont="1" applyBorder="1" applyAlignment="1">
      <alignment vertical="center"/>
    </xf>
    <xf numFmtId="0" fontId="16" fillId="3" borderId="4" xfId="0" applyFont="1" applyFill="1" applyBorder="1" applyAlignment="1">
      <alignment vertical="center"/>
    </xf>
    <xf numFmtId="3" fontId="21" fillId="2" borderId="3" xfId="0" applyNumberFormat="1" applyFont="1" applyFill="1" applyBorder="1" applyAlignment="1">
      <alignment horizontal="center" wrapText="1"/>
    </xf>
    <xf numFmtId="3" fontId="21" fillId="2" borderId="14" xfId="0" applyNumberFormat="1" applyFont="1" applyFill="1" applyBorder="1" applyAlignment="1">
      <alignment horizontal="center" wrapText="1"/>
    </xf>
    <xf numFmtId="0" fontId="14" fillId="0" borderId="16" xfId="0" applyFont="1" applyBorder="1"/>
    <xf numFmtId="0" fontId="16" fillId="0" borderId="4" xfId="0" applyFont="1" applyBorder="1"/>
    <xf numFmtId="0" fontId="16" fillId="0" borderId="13" xfId="0" applyFont="1" applyBorder="1"/>
    <xf numFmtId="0" fontId="2" fillId="0" borderId="0" xfId="0" applyFont="1"/>
    <xf numFmtId="0" fontId="14" fillId="0" borderId="4" xfId="0" applyFont="1" applyBorder="1" applyAlignment="1">
      <alignment horizontal="left" vertical="center" wrapText="1"/>
    </xf>
    <xf numFmtId="0" fontId="23" fillId="3" borderId="4" xfId="0" applyFont="1" applyFill="1" applyBorder="1" applyAlignment="1">
      <alignment horizontal="left" vertical="center" wrapText="1"/>
    </xf>
    <xf numFmtId="0" fontId="14" fillId="0" borderId="13" xfId="0" applyFont="1" applyBorder="1" applyAlignment="1">
      <alignment horizontal="left" vertical="center" wrapText="1"/>
    </xf>
    <xf numFmtId="3" fontId="11" fillId="4" borderId="9" xfId="0" applyNumberFormat="1" applyFont="1" applyFill="1" applyBorder="1" applyAlignment="1">
      <alignment horizontal="center" vertical="center" wrapText="1" readingOrder="1"/>
    </xf>
    <xf numFmtId="0" fontId="14" fillId="2" borderId="0" xfId="0" applyFont="1" applyFill="1"/>
    <xf numFmtId="0" fontId="14" fillId="0" borderId="16" xfId="0" applyFont="1" applyBorder="1" applyAlignment="1">
      <alignment vertical="center"/>
    </xf>
    <xf numFmtId="0" fontId="16" fillId="0" borderId="4" xfId="0" applyFont="1" applyBorder="1" applyAlignment="1">
      <alignment vertical="center"/>
    </xf>
    <xf numFmtId="0" fontId="16" fillId="0" borderId="13" xfId="0" applyFont="1" applyBorder="1" applyAlignment="1">
      <alignment vertical="center"/>
    </xf>
    <xf numFmtId="166" fontId="24" fillId="3" borderId="24" xfId="0" applyNumberFormat="1" applyFont="1" applyFill="1" applyBorder="1" applyAlignment="1">
      <alignment horizontal="center" vertical="center" wrapText="1" readingOrder="1"/>
    </xf>
    <xf numFmtId="166" fontId="11" fillId="0" borderId="24" xfId="0" applyNumberFormat="1" applyFont="1" applyFill="1" applyBorder="1" applyAlignment="1">
      <alignment horizontal="center" vertical="center" wrapText="1" readingOrder="1"/>
    </xf>
    <xf numFmtId="0" fontId="14" fillId="0" borderId="16" xfId="0" applyFont="1" applyFill="1" applyBorder="1"/>
    <xf numFmtId="0" fontId="16" fillId="3" borderId="17" xfId="0" applyFont="1" applyFill="1" applyBorder="1"/>
    <xf numFmtId="49" fontId="16" fillId="3" borderId="18" xfId="0" applyNumberFormat="1" applyFont="1" applyFill="1" applyBorder="1" applyAlignment="1">
      <alignment horizontal="center"/>
    </xf>
    <xf numFmtId="16" fontId="16" fillId="3" borderId="5" xfId="0" applyNumberFormat="1" applyFont="1" applyFill="1" applyBorder="1" applyAlignment="1">
      <alignment horizontal="center"/>
    </xf>
    <xf numFmtId="16" fontId="16" fillId="3" borderId="6" xfId="0" applyNumberFormat="1" applyFont="1" applyFill="1" applyBorder="1" applyAlignment="1">
      <alignment horizontal="center"/>
    </xf>
    <xf numFmtId="0" fontId="14" fillId="0" borderId="16" xfId="0" applyFont="1" applyFill="1" applyBorder="1" applyAlignment="1">
      <alignment vertical="center"/>
    </xf>
    <xf numFmtId="16" fontId="16" fillId="3" borderId="18" xfId="0" applyNumberFormat="1" applyFont="1" applyFill="1" applyBorder="1" applyAlignment="1">
      <alignment horizontal="center"/>
    </xf>
    <xf numFmtId="0" fontId="1" fillId="2" borderId="0" xfId="0" applyFont="1" applyFill="1" applyAlignment="1">
      <alignment horizontal="center"/>
    </xf>
    <xf numFmtId="3" fontId="11" fillId="0" borderId="24" xfId="0" applyNumberFormat="1" applyFont="1" applyFill="1" applyBorder="1" applyAlignment="1">
      <alignment horizontal="center" vertical="center" wrapText="1" readingOrder="1"/>
    </xf>
    <xf numFmtId="3" fontId="24" fillId="3" borderId="9" xfId="0" applyNumberFormat="1" applyFont="1" applyFill="1" applyBorder="1" applyAlignment="1">
      <alignment horizontal="center" vertical="center" wrapText="1" readingOrder="1"/>
    </xf>
    <xf numFmtId="166" fontId="24" fillId="5" borderId="25" xfId="0" applyNumberFormat="1" applyFont="1" applyFill="1" applyBorder="1" applyAlignment="1">
      <alignment horizontal="center" vertical="center" wrapText="1" readingOrder="1"/>
    </xf>
    <xf numFmtId="166" fontId="11" fillId="2" borderId="24" xfId="0" applyNumberFormat="1" applyFont="1" applyFill="1" applyBorder="1" applyAlignment="1">
      <alignment horizontal="center" vertical="center" wrapText="1" readingOrder="1"/>
    </xf>
    <xf numFmtId="166" fontId="11" fillId="0" borderId="9" xfId="1" applyNumberFormat="1" applyFont="1" applyFill="1" applyBorder="1" applyAlignment="1">
      <alignment horizontal="center" vertical="center" wrapText="1"/>
    </xf>
    <xf numFmtId="0" fontId="15" fillId="3" borderId="19" xfId="0" applyFont="1" applyFill="1" applyBorder="1" applyAlignment="1">
      <alignment vertical="center"/>
    </xf>
    <xf numFmtId="0" fontId="15" fillId="3" borderId="19" xfId="0" applyFont="1" applyFill="1" applyBorder="1"/>
    <xf numFmtId="0" fontId="15" fillId="3" borderId="5" xfId="0" applyFont="1" applyFill="1" applyBorder="1" applyAlignment="1">
      <alignment horizontal="center"/>
    </xf>
    <xf numFmtId="0" fontId="15" fillId="3" borderId="6" xfId="0" applyFont="1" applyFill="1" applyBorder="1" applyAlignment="1">
      <alignment horizontal="center"/>
    </xf>
    <xf numFmtId="0" fontId="1" fillId="2" borderId="0" xfId="0" applyFont="1" applyFill="1" applyAlignment="1">
      <alignment horizontal="left"/>
    </xf>
    <xf numFmtId="49" fontId="1" fillId="2" borderId="0" xfId="0" applyNumberFormat="1" applyFont="1" applyFill="1" applyAlignment="1">
      <alignment horizontal="left"/>
    </xf>
    <xf numFmtId="3" fontId="28" fillId="2" borderId="9" xfId="0" applyNumberFormat="1" applyFont="1" applyFill="1" applyBorder="1" applyAlignment="1">
      <alignment horizontal="center" vertical="center" wrapText="1"/>
    </xf>
    <xf numFmtId="164" fontId="28" fillId="2" borderId="1" xfId="0" applyNumberFormat="1" applyFont="1" applyFill="1" applyBorder="1" applyAlignment="1">
      <alignment horizontal="center" vertical="center" wrapText="1"/>
    </xf>
    <xf numFmtId="164" fontId="27" fillId="2" borderId="12" xfId="0" applyNumberFormat="1" applyFont="1" applyFill="1" applyBorder="1" applyAlignment="1">
      <alignment horizontal="center" vertical="center" wrapText="1"/>
    </xf>
    <xf numFmtId="164" fontId="27" fillId="2" borderId="1" xfId="0" applyNumberFormat="1" applyFont="1" applyFill="1" applyBorder="1" applyAlignment="1">
      <alignment horizontal="center" vertical="center" wrapText="1"/>
    </xf>
    <xf numFmtId="166" fontId="27" fillId="0" borderId="9" xfId="0" applyNumberFormat="1" applyFont="1" applyFill="1" applyBorder="1" applyAlignment="1">
      <alignment horizontal="center" vertical="center" wrapText="1" readingOrder="1"/>
    </xf>
    <xf numFmtId="0" fontId="15" fillId="3" borderId="19" xfId="0" applyFont="1" applyFill="1" applyBorder="1" applyAlignment="1">
      <alignment horizontal="left" vertical="center"/>
    </xf>
    <xf numFmtId="3" fontId="28" fillId="2" borderId="3" xfId="0" applyNumberFormat="1" applyFont="1" applyFill="1" applyBorder="1" applyAlignment="1">
      <alignment horizontal="center" wrapText="1"/>
    </xf>
    <xf numFmtId="164" fontId="28" fillId="2" borderId="12" xfId="0" applyNumberFormat="1" applyFont="1" applyFill="1" applyBorder="1" applyAlignment="1">
      <alignment horizontal="center" wrapText="1"/>
    </xf>
    <xf numFmtId="0" fontId="14" fillId="0" borderId="16" xfId="0" applyFont="1" applyFill="1" applyBorder="1" applyAlignment="1">
      <alignment horizontal="left" vertical="center" wrapText="1"/>
    </xf>
    <xf numFmtId="0" fontId="14" fillId="0" borderId="4" xfId="0" applyFont="1" applyFill="1" applyBorder="1" applyAlignment="1">
      <alignment horizontal="left" vertical="center" wrapText="1"/>
    </xf>
    <xf numFmtId="3" fontId="14" fillId="0" borderId="1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wrapText="1"/>
    </xf>
    <xf numFmtId="3" fontId="16" fillId="0" borderId="9" xfId="0" applyNumberFormat="1" applyFont="1" applyFill="1" applyBorder="1" applyAlignment="1">
      <alignment horizontal="center" vertical="center"/>
    </xf>
    <xf numFmtId="3" fontId="16" fillId="0" borderId="10" xfId="0" applyNumberFormat="1" applyFont="1" applyFill="1" applyBorder="1" applyAlignment="1">
      <alignment horizontal="center" vertical="center"/>
    </xf>
    <xf numFmtId="3" fontId="22" fillId="0" borderId="0" xfId="0" applyNumberFormat="1" applyFont="1" applyFill="1" applyAlignment="1">
      <alignment horizontal="center"/>
    </xf>
    <xf numFmtId="3" fontId="14" fillId="0" borderId="11" xfId="0" applyNumberFormat="1" applyFont="1" applyFill="1" applyBorder="1" applyAlignment="1">
      <alignment horizontal="center"/>
    </xf>
    <xf numFmtId="3" fontId="14" fillId="0" borderId="9" xfId="0" applyNumberFormat="1" applyFont="1" applyFill="1" applyBorder="1" applyAlignment="1">
      <alignment horizontal="center"/>
    </xf>
    <xf numFmtId="3" fontId="16" fillId="0" borderId="9" xfId="0" applyNumberFormat="1" applyFont="1" applyFill="1" applyBorder="1" applyAlignment="1">
      <alignment horizontal="center"/>
    </xf>
    <xf numFmtId="3" fontId="16" fillId="0" borderId="10" xfId="0" applyNumberFormat="1" applyFont="1" applyFill="1" applyBorder="1" applyAlignment="1">
      <alignment horizontal="center"/>
    </xf>
    <xf numFmtId="3" fontId="2" fillId="0" borderId="0" xfId="0" applyNumberFormat="1" applyFont="1" applyFill="1" applyAlignment="1">
      <alignment horizontal="center"/>
    </xf>
    <xf numFmtId="3" fontId="14" fillId="0" borderId="9" xfId="0" applyNumberFormat="1"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xf>
    <xf numFmtId="0" fontId="16" fillId="5" borderId="31" xfId="0" applyFont="1" applyFill="1" applyBorder="1"/>
    <xf numFmtId="3" fontId="16" fillId="5" borderId="32" xfId="0" applyNumberFormat="1" applyFont="1" applyFill="1" applyBorder="1" applyAlignment="1">
      <alignment horizontal="center" vertical="center" wrapText="1" readingOrder="1"/>
    </xf>
    <xf numFmtId="0" fontId="22" fillId="0" borderId="8" xfId="0" applyFont="1" applyBorder="1" applyAlignment="1">
      <alignment horizontal="center"/>
    </xf>
    <xf numFmtId="0" fontId="22" fillId="0" borderId="34" xfId="0" applyFont="1" applyBorder="1" applyAlignment="1">
      <alignment horizontal="center"/>
    </xf>
    <xf numFmtId="0" fontId="14" fillId="2" borderId="35" xfId="0" applyFont="1" applyFill="1" applyBorder="1"/>
    <xf numFmtId="0" fontId="16" fillId="0" borderId="26" xfId="0" applyFont="1" applyFill="1" applyBorder="1" applyAlignment="1">
      <alignment vertical="center"/>
    </xf>
    <xf numFmtId="0" fontId="0" fillId="0" borderId="0" xfId="0" applyAlignment="1">
      <alignment horizontal="center" vertical="center"/>
    </xf>
    <xf numFmtId="49" fontId="19" fillId="0" borderId="22" xfId="0" applyNumberFormat="1" applyFont="1" applyBorder="1" applyAlignment="1">
      <alignment horizontal="right"/>
    </xf>
    <xf numFmtId="166" fontId="29" fillId="3" borderId="9" xfId="0" applyNumberFormat="1" applyFont="1" applyFill="1" applyBorder="1" applyAlignment="1">
      <alignment horizontal="center" vertical="center" wrapText="1" readingOrder="1"/>
    </xf>
    <xf numFmtId="164" fontId="29" fillId="3" borderId="1" xfId="0" applyNumberFormat="1" applyFont="1" applyFill="1" applyBorder="1" applyAlignment="1">
      <alignment horizontal="center" vertical="center" wrapText="1"/>
    </xf>
    <xf numFmtId="3" fontId="14" fillId="0" borderId="9" xfId="0" applyNumberFormat="1" applyFont="1" applyBorder="1" applyAlignment="1">
      <alignment horizontal="center"/>
    </xf>
    <xf numFmtId="3" fontId="14" fillId="0" borderId="21" xfId="0" applyNumberFormat="1" applyFont="1" applyBorder="1" applyAlignment="1">
      <alignment horizontal="center"/>
    </xf>
    <xf numFmtId="49" fontId="14" fillId="0" borderId="7" xfId="0" applyNumberFormat="1" applyFont="1" applyFill="1" applyBorder="1" applyAlignment="1">
      <alignment horizontal="left" vertical="center"/>
    </xf>
    <xf numFmtId="49" fontId="14" fillId="0" borderId="7" xfId="0" applyNumberFormat="1" applyFont="1" applyFill="1" applyBorder="1" applyAlignment="1">
      <alignment horizontal="left" vertical="center" wrapText="1"/>
    </xf>
    <xf numFmtId="49" fontId="18" fillId="0" borderId="7" xfId="0" applyNumberFormat="1" applyFont="1" applyFill="1" applyBorder="1" applyAlignment="1">
      <alignment horizontal="left" vertical="center" wrapText="1"/>
    </xf>
    <xf numFmtId="3" fontId="11" fillId="0" borderId="0" xfId="0" applyNumberFormat="1" applyFont="1" applyFill="1" applyBorder="1" applyAlignment="1">
      <alignment horizontal="center" vertical="center" wrapText="1" readingOrder="1"/>
    </xf>
    <xf numFmtId="3" fontId="11" fillId="0" borderId="39" xfId="0" applyNumberFormat="1" applyFont="1" applyFill="1" applyBorder="1" applyAlignment="1">
      <alignment horizontal="center" vertical="center" wrapText="1" readingOrder="1"/>
    </xf>
    <xf numFmtId="0" fontId="16" fillId="3" borderId="23" xfId="0" applyFont="1" applyFill="1" applyBorder="1"/>
    <xf numFmtId="164" fontId="11" fillId="2" borderId="35" xfId="0" applyNumberFormat="1" applyFont="1" applyFill="1" applyBorder="1" applyAlignment="1">
      <alignment horizontal="center" vertical="center" wrapText="1"/>
    </xf>
    <xf numFmtId="3" fontId="27" fillId="2" borderId="9" xfId="0" applyNumberFormat="1" applyFont="1" applyFill="1" applyBorder="1" applyAlignment="1">
      <alignment horizontal="center" vertical="center" wrapText="1"/>
    </xf>
    <xf numFmtId="164" fontId="27" fillId="0" borderId="9" xfId="0" applyNumberFormat="1" applyFont="1" applyBorder="1" applyAlignment="1">
      <alignment horizontal="center" vertical="center" wrapText="1" readingOrder="1"/>
    </xf>
    <xf numFmtId="3" fontId="14" fillId="0" borderId="37" xfId="0" applyNumberFormat="1" applyFont="1" applyBorder="1" applyAlignment="1">
      <alignment horizontal="center"/>
    </xf>
    <xf numFmtId="3" fontId="14" fillId="0" borderId="36" xfId="0" applyNumberFormat="1" applyFont="1" applyBorder="1" applyAlignment="1">
      <alignment horizontal="center"/>
    </xf>
    <xf numFmtId="3" fontId="29" fillId="2" borderId="9" xfId="0" applyNumberFormat="1" applyFont="1" applyFill="1" applyBorder="1" applyAlignment="1">
      <alignment horizontal="center" wrapText="1"/>
    </xf>
    <xf numFmtId="3" fontId="29" fillId="0" borderId="9" xfId="0" applyNumberFormat="1" applyFont="1" applyFill="1" applyBorder="1" applyAlignment="1">
      <alignment horizontal="center" vertical="center" wrapText="1"/>
    </xf>
    <xf numFmtId="0" fontId="16" fillId="3" borderId="0" xfId="0" applyFont="1" applyFill="1"/>
    <xf numFmtId="1" fontId="11" fillId="0" borderId="25" xfId="0" applyNumberFormat="1" applyFont="1" applyFill="1" applyBorder="1" applyAlignment="1">
      <alignment horizontal="center" vertical="center" wrapText="1" readingOrder="1"/>
    </xf>
    <xf numFmtId="1" fontId="16" fillId="3" borderId="41" xfId="0" applyNumberFormat="1" applyFont="1" applyFill="1" applyBorder="1" applyAlignment="1">
      <alignment horizontal="center"/>
    </xf>
    <xf numFmtId="1" fontId="16" fillId="3" borderId="37" xfId="0" applyNumberFormat="1" applyFont="1" applyFill="1" applyBorder="1" applyAlignment="1">
      <alignment horizontal="center"/>
    </xf>
    <xf numFmtId="3" fontId="14" fillId="0" borderId="0" xfId="0" applyNumberFormat="1" applyFont="1" applyAlignment="1">
      <alignment horizontal="center"/>
    </xf>
    <xf numFmtId="3" fontId="16" fillId="0" borderId="10" xfId="0" applyNumberFormat="1" applyFont="1" applyBorder="1" applyAlignment="1">
      <alignment horizontal="center"/>
    </xf>
    <xf numFmtId="3" fontId="27" fillId="0" borderId="9" xfId="0" applyNumberFormat="1" applyFont="1" applyFill="1" applyBorder="1" applyAlignment="1">
      <alignment horizontal="center" wrapText="1"/>
    </xf>
    <xf numFmtId="164" fontId="27" fillId="0" borderId="1" xfId="0" applyNumberFormat="1" applyFont="1" applyFill="1" applyBorder="1" applyAlignment="1">
      <alignment horizontal="center" wrapText="1"/>
    </xf>
    <xf numFmtId="166" fontId="30" fillId="3" borderId="9" xfId="0" applyNumberFormat="1" applyFont="1" applyFill="1" applyBorder="1" applyAlignment="1">
      <alignment horizontal="center" vertical="center" wrapText="1" readingOrder="1"/>
    </xf>
    <xf numFmtId="164" fontId="30" fillId="3" borderId="1" xfId="0" applyNumberFormat="1" applyFont="1" applyFill="1" applyBorder="1" applyAlignment="1">
      <alignment horizontal="center" vertical="center" wrapText="1"/>
    </xf>
    <xf numFmtId="3" fontId="30" fillId="2" borderId="3" xfId="0" applyNumberFormat="1" applyFont="1" applyFill="1" applyBorder="1" applyAlignment="1">
      <alignment horizontal="center" vertical="center" wrapText="1"/>
    </xf>
    <xf numFmtId="164" fontId="30" fillId="2" borderId="12" xfId="0" applyNumberFormat="1" applyFont="1" applyFill="1" applyBorder="1" applyAlignment="1">
      <alignment horizontal="center" vertical="center" wrapText="1"/>
    </xf>
    <xf numFmtId="3" fontId="30" fillId="2" borderId="14" xfId="0" applyNumberFormat="1" applyFont="1" applyFill="1" applyBorder="1" applyAlignment="1">
      <alignment horizontal="center" vertical="center" wrapText="1"/>
    </xf>
    <xf numFmtId="164" fontId="30" fillId="2" borderId="15" xfId="0" applyNumberFormat="1" applyFont="1" applyFill="1" applyBorder="1" applyAlignment="1">
      <alignment horizontal="center" vertical="center" wrapText="1"/>
    </xf>
    <xf numFmtId="3" fontId="27" fillId="0" borderId="9"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3" fontId="30" fillId="3" borderId="9" xfId="0" applyNumberFormat="1" applyFont="1" applyFill="1" applyBorder="1" applyAlignment="1">
      <alignment horizontal="center" wrapText="1"/>
    </xf>
    <xf numFmtId="164" fontId="30" fillId="3" borderId="1" xfId="0" applyNumberFormat="1" applyFont="1" applyFill="1" applyBorder="1" applyAlignment="1">
      <alignment horizontal="center" wrapText="1"/>
    </xf>
    <xf numFmtId="3" fontId="30" fillId="3" borderId="9" xfId="0" applyNumberFormat="1" applyFont="1" applyFill="1" applyBorder="1" applyAlignment="1">
      <alignment horizontal="center" vertical="center" wrapText="1"/>
    </xf>
    <xf numFmtId="3" fontId="28" fillId="0" borderId="9" xfId="0" applyNumberFormat="1" applyFont="1" applyFill="1" applyBorder="1" applyAlignment="1">
      <alignment horizontal="center" wrapText="1"/>
    </xf>
    <xf numFmtId="164" fontId="28" fillId="0" borderId="1" xfId="0" applyNumberFormat="1" applyFont="1" applyFill="1" applyBorder="1" applyAlignment="1">
      <alignment horizontal="center" wrapText="1"/>
    </xf>
    <xf numFmtId="49" fontId="14" fillId="0" borderId="20" xfId="0" applyNumberFormat="1" applyFont="1" applyFill="1" applyBorder="1" applyAlignment="1">
      <alignment horizontal="left" vertical="center" wrapText="1"/>
    </xf>
    <xf numFmtId="0" fontId="14" fillId="0" borderId="40" xfId="0" applyFont="1" applyFill="1" applyBorder="1"/>
    <xf numFmtId="0" fontId="0" fillId="0" borderId="0" xfId="0" applyFill="1"/>
    <xf numFmtId="3" fontId="28" fillId="2" borderId="11"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164" fontId="29" fillId="0" borderId="7" xfId="0" applyNumberFormat="1" applyFont="1" applyFill="1" applyBorder="1" applyAlignment="1">
      <alignment horizontal="center" vertical="center" wrapText="1"/>
    </xf>
    <xf numFmtId="3" fontId="30" fillId="5" borderId="29" xfId="0" applyNumberFormat="1" applyFont="1" applyFill="1" applyBorder="1" applyAlignment="1">
      <alignment horizontal="center" vertical="center" wrapText="1"/>
    </xf>
    <xf numFmtId="164" fontId="30" fillId="5" borderId="30" xfId="0" applyNumberFormat="1" applyFont="1" applyFill="1" applyBorder="1" applyAlignment="1">
      <alignment horizontal="center" vertical="center" wrapText="1"/>
    </xf>
    <xf numFmtId="166" fontId="27" fillId="0" borderId="10" xfId="0" applyNumberFormat="1" applyFont="1" applyFill="1" applyBorder="1" applyAlignment="1">
      <alignment horizontal="center" vertical="center" wrapText="1" readingOrder="1"/>
    </xf>
    <xf numFmtId="164" fontId="27" fillId="2" borderId="2" xfId="0" applyNumberFormat="1" applyFont="1" applyFill="1" applyBorder="1" applyAlignment="1">
      <alignment horizontal="center" vertical="center" wrapText="1"/>
    </xf>
    <xf numFmtId="164" fontId="29" fillId="2" borderId="1" xfId="0" applyNumberFormat="1" applyFont="1" applyFill="1" applyBorder="1" applyAlignment="1">
      <alignment horizontal="center" wrapText="1"/>
    </xf>
    <xf numFmtId="3" fontId="28" fillId="0" borderId="11" xfId="0" applyNumberFormat="1" applyFont="1" applyFill="1" applyBorder="1" applyAlignment="1">
      <alignment horizontal="center" wrapText="1"/>
    </xf>
    <xf numFmtId="164" fontId="28" fillId="0" borderId="12" xfId="0" applyNumberFormat="1" applyFont="1" applyFill="1" applyBorder="1" applyAlignment="1">
      <alignment horizontal="center" wrapText="1"/>
    </xf>
    <xf numFmtId="3" fontId="14" fillId="0" borderId="9" xfId="0" applyNumberFormat="1" applyFont="1" applyFill="1" applyBorder="1" applyAlignment="1">
      <alignment horizontal="center" wrapText="1"/>
    </xf>
    <xf numFmtId="164" fontId="14" fillId="0" borderId="1" xfId="0" applyNumberFormat="1" applyFont="1" applyFill="1" applyBorder="1" applyAlignment="1">
      <alignment horizontal="center" wrapText="1"/>
    </xf>
    <xf numFmtId="3" fontId="30" fillId="5" borderId="10" xfId="0" applyNumberFormat="1" applyFont="1" applyFill="1" applyBorder="1" applyAlignment="1">
      <alignment horizontal="center" wrapText="1"/>
    </xf>
    <xf numFmtId="164" fontId="30" fillId="5" borderId="2" xfId="0" applyNumberFormat="1" applyFont="1" applyFill="1" applyBorder="1" applyAlignment="1">
      <alignment horizontal="center"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14" fontId="25" fillId="0" borderId="0" xfId="0" applyNumberFormat="1" applyFont="1" applyAlignment="1">
      <alignment horizontal="left"/>
    </xf>
    <xf numFmtId="0" fontId="26" fillId="0" borderId="0" xfId="0" applyFont="1" applyAlignment="1">
      <alignment horizontal="left"/>
    </xf>
    <xf numFmtId="0" fontId="9" fillId="2" borderId="9" xfId="0" applyFont="1" applyFill="1" applyBorder="1" applyAlignment="1">
      <alignment wrapText="1"/>
    </xf>
    <xf numFmtId="49" fontId="4" fillId="0" borderId="43" xfId="0" applyNumberFormat="1" applyFont="1" applyFill="1" applyBorder="1" applyAlignment="1">
      <alignment vertical="center" wrapText="1"/>
    </xf>
    <xf numFmtId="49" fontId="4" fillId="0" borderId="0" xfId="0" applyNumberFormat="1" applyFont="1" applyFill="1" applyBorder="1" applyAlignment="1">
      <alignment vertical="center" wrapText="1"/>
    </xf>
    <xf numFmtId="49" fontId="4" fillId="0" borderId="44" xfId="0" applyNumberFormat="1" applyFont="1" applyFill="1" applyBorder="1" applyAlignment="1">
      <alignment vertical="center" wrapText="1"/>
    </xf>
    <xf numFmtId="0" fontId="4" fillId="0" borderId="33" xfId="0" applyFont="1" applyFill="1" applyBorder="1" applyAlignment="1">
      <alignment vertical="center" wrapText="1"/>
    </xf>
    <xf numFmtId="0" fontId="4" fillId="0" borderId="38" xfId="0" applyFont="1" applyFill="1" applyBorder="1" applyAlignment="1">
      <alignment vertical="center" wrapText="1"/>
    </xf>
    <xf numFmtId="0" fontId="20" fillId="0" borderId="4" xfId="0" applyFont="1" applyBorder="1" applyAlignment="1"/>
    <xf numFmtId="0" fontId="20" fillId="0" borderId="9" xfId="0" applyFont="1" applyBorder="1" applyAlignment="1"/>
    <xf numFmtId="0" fontId="20" fillId="0" borderId="16" xfId="0" applyFont="1" applyBorder="1" applyAlignment="1"/>
    <xf numFmtId="0" fontId="20" fillId="0" borderId="11" xfId="0" applyFont="1" applyBorder="1" applyAlignment="1"/>
    <xf numFmtId="0" fontId="20" fillId="0" borderId="4" xfId="0" applyFont="1" applyBorder="1" applyAlignment="1">
      <alignment wrapText="1"/>
    </xf>
    <xf numFmtId="0" fontId="20" fillId="0" borderId="9" xfId="0" applyFont="1" applyBorder="1" applyAlignment="1">
      <alignment wrapText="1"/>
    </xf>
    <xf numFmtId="0" fontId="1" fillId="3" borderId="17" xfId="0" applyFont="1" applyFill="1" applyBorder="1" applyAlignment="1"/>
    <xf numFmtId="0" fontId="1" fillId="3" borderId="5" xfId="0" applyFont="1" applyFill="1" applyBorder="1" applyAlignment="1"/>
    <xf numFmtId="0" fontId="6" fillId="0" borderId="33" xfId="0" applyFont="1" applyBorder="1" applyAlignment="1">
      <alignment horizontal="right" vertical="center" wrapText="1"/>
    </xf>
    <xf numFmtId="0" fontId="6" fillId="0" borderId="38" xfId="0" applyFont="1" applyBorder="1" applyAlignment="1">
      <alignment horizontal="right" vertical="center" wrapText="1"/>
    </xf>
    <xf numFmtId="0" fontId="20" fillId="0" borderId="13" xfId="0" applyFont="1" applyBorder="1" applyAlignment="1">
      <alignment wrapText="1"/>
    </xf>
    <xf numFmtId="0" fontId="20" fillId="0" borderId="10" xfId="0" applyFont="1" applyBorder="1" applyAlignment="1">
      <alignment wrapText="1"/>
    </xf>
    <xf numFmtId="164" fontId="29" fillId="2" borderId="1" xfId="0" applyNumberFormat="1" applyFont="1" applyFill="1" applyBorder="1" applyAlignment="1">
      <alignment horizontal="center" vertical="center" wrapText="1"/>
    </xf>
    <xf numFmtId="0" fontId="4" fillId="0" borderId="42" xfId="0" applyFont="1" applyFill="1" applyBorder="1" applyAlignment="1">
      <alignment vertical="top" wrapText="1"/>
    </xf>
    <xf numFmtId="0" fontId="4" fillId="0" borderId="0" xfId="0" applyFont="1" applyFill="1" applyBorder="1" applyAlignment="1">
      <alignment vertical="top" wrapText="1"/>
    </xf>
    <xf numFmtId="164" fontId="14" fillId="0" borderId="10" xfId="0" applyNumberFormat="1" applyFont="1" applyBorder="1" applyAlignment="1">
      <alignment horizontal="center"/>
    </xf>
    <xf numFmtId="0" fontId="4" fillId="0" borderId="47" xfId="0" applyFont="1" applyBorder="1" applyAlignment="1">
      <alignment vertical="center" wrapText="1"/>
    </xf>
    <xf numFmtId="0" fontId="4" fillId="0" borderId="0" xfId="0" applyFont="1" applyBorder="1" applyAlignment="1">
      <alignment vertical="center" wrapText="1"/>
    </xf>
    <xf numFmtId="0" fontId="4" fillId="0" borderId="45" xfId="0" applyFont="1" applyBorder="1" applyAlignment="1">
      <alignment vertical="center" wrapText="1"/>
    </xf>
    <xf numFmtId="0" fontId="9" fillId="2" borderId="48" xfId="0" applyFont="1" applyFill="1" applyBorder="1" applyAlignment="1">
      <alignment wrapText="1"/>
    </xf>
    <xf numFmtId="0" fontId="9" fillId="2" borderId="10" xfId="0" applyFont="1" applyFill="1" applyBorder="1" applyAlignment="1">
      <alignment wrapText="1"/>
    </xf>
    <xf numFmtId="0" fontId="8" fillId="2" borderId="46" xfId="0" applyFont="1" applyFill="1" applyBorder="1" applyAlignment="1">
      <alignment vertical="center" wrapText="1"/>
    </xf>
    <xf numFmtId="0" fontId="9" fillId="2" borderId="23" xfId="0" applyFont="1" applyFill="1" applyBorder="1" applyAlignment="1">
      <alignment wrapText="1"/>
    </xf>
    <xf numFmtId="0" fontId="9" fillId="2" borderId="49" xfId="0" applyFont="1" applyFill="1" applyBorder="1" applyAlignment="1">
      <alignment wrapText="1"/>
    </xf>
    <xf numFmtId="49" fontId="4" fillId="0" borderId="51" xfId="0" applyNumberFormat="1" applyFont="1" applyFill="1" applyBorder="1" applyAlignment="1">
      <alignment horizontal="left" vertical="center" wrapText="1"/>
    </xf>
    <xf numFmtId="49" fontId="4" fillId="0" borderId="52" xfId="0" applyNumberFormat="1" applyFont="1" applyFill="1" applyBorder="1" applyAlignment="1">
      <alignment horizontal="left" vertical="center" wrapText="1"/>
    </xf>
    <xf numFmtId="164" fontId="28" fillId="2" borderId="2" xfId="0" applyNumberFormat="1" applyFont="1" applyFill="1" applyBorder="1" applyAlignment="1">
      <alignment horizontal="center" wrapText="1"/>
    </xf>
    <xf numFmtId="49" fontId="4" fillId="0" borderId="23" xfId="0" applyNumberFormat="1" applyFont="1" applyFill="1" applyBorder="1"/>
    <xf numFmtId="49" fontId="18" fillId="0" borderId="50" xfId="0" applyNumberFormat="1" applyFont="1" applyFill="1" applyBorder="1" applyAlignment="1">
      <alignment horizontal="left" vertical="center" wrapText="1"/>
    </xf>
    <xf numFmtId="0" fontId="4" fillId="0" borderId="52" xfId="0" applyFont="1" applyFill="1" applyBorder="1" applyAlignment="1">
      <alignment vertical="center" wrapText="1"/>
    </xf>
    <xf numFmtId="0" fontId="4" fillId="0" borderId="26" xfId="0" applyFont="1" applyFill="1" applyBorder="1" applyAlignment="1">
      <alignment vertical="center" wrapText="1"/>
    </xf>
    <xf numFmtId="0" fontId="4" fillId="0" borderId="51" xfId="0" applyFont="1" applyFill="1" applyBorder="1" applyAlignment="1">
      <alignment vertical="center" wrapText="1"/>
    </xf>
    <xf numFmtId="0" fontId="6" fillId="0" borderId="52" xfId="0" applyFont="1" applyBorder="1" applyAlignment="1">
      <alignment horizontal="center" wrapText="1"/>
    </xf>
    <xf numFmtId="0" fontId="6" fillId="0" borderId="26" xfId="0" applyFont="1" applyBorder="1" applyAlignment="1">
      <alignment horizontal="center" wrapText="1"/>
    </xf>
    <xf numFmtId="0" fontId="6" fillId="0" borderId="51" xfId="0" applyFont="1" applyBorder="1" applyAlignment="1">
      <alignment horizont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topLeftCell="A16" zoomScaleNormal="100" zoomScaleSheetLayoutView="100" workbookViewId="0">
      <selection activeCell="L39" sqref="L39:L41"/>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68</v>
      </c>
      <c r="B1" s="158" t="s">
        <v>32</v>
      </c>
      <c r="C1" s="159"/>
      <c r="D1" s="159"/>
      <c r="E1" s="6"/>
      <c r="F1" s="14"/>
      <c r="G1" s="163">
        <v>43563</v>
      </c>
      <c r="H1" s="164"/>
      <c r="I1" s="164"/>
      <c r="J1" s="164"/>
      <c r="K1" s="164"/>
      <c r="L1" s="164"/>
    </row>
    <row r="2" spans="1:12" s="3" customFormat="1" ht="16.5" customHeight="1" thickBot="1" x14ac:dyDescent="0.3">
      <c r="A2" s="160" t="s">
        <v>3</v>
      </c>
      <c r="B2" s="161"/>
      <c r="C2" s="161"/>
      <c r="D2" s="60"/>
      <c r="E2" s="60"/>
      <c r="F2" s="15"/>
      <c r="G2" s="162" t="s">
        <v>4</v>
      </c>
      <c r="H2" s="161"/>
      <c r="I2" s="161"/>
      <c r="J2" s="161"/>
      <c r="K2" s="70"/>
      <c r="L2" s="71"/>
    </row>
    <row r="3" spans="1:12" s="1" customFormat="1" ht="15.75" thickBot="1" x14ac:dyDescent="0.3">
      <c r="A3" s="54" t="s">
        <v>2</v>
      </c>
      <c r="B3" s="55" t="s">
        <v>67</v>
      </c>
      <c r="C3" s="55" t="s">
        <v>69</v>
      </c>
      <c r="D3" s="59" t="s">
        <v>0</v>
      </c>
      <c r="E3" s="57" t="s">
        <v>1</v>
      </c>
      <c r="F3" s="47"/>
      <c r="G3" s="54" t="s">
        <v>2</v>
      </c>
      <c r="H3" s="55" t="s">
        <v>67</v>
      </c>
      <c r="I3" s="55" t="s">
        <v>69</v>
      </c>
      <c r="J3" s="56" t="s">
        <v>0</v>
      </c>
      <c r="K3" s="57" t="s">
        <v>1</v>
      </c>
      <c r="L3" s="21" t="s">
        <v>36</v>
      </c>
    </row>
    <row r="4" spans="1:12" ht="15" x14ac:dyDescent="0.25">
      <c r="A4" s="58" t="s">
        <v>19</v>
      </c>
      <c r="B4" s="61">
        <v>4</v>
      </c>
      <c r="C4" s="61">
        <v>15</v>
      </c>
      <c r="D4" s="144">
        <f t="shared" ref="D4:D23" si="0">C4-B4</f>
        <v>11</v>
      </c>
      <c r="E4" s="145">
        <f t="shared" ref="E4:E21" si="1">D4/B4</f>
        <v>2.75</v>
      </c>
      <c r="F4" s="22"/>
      <c r="G4" s="53" t="s">
        <v>19</v>
      </c>
      <c r="H4" s="52">
        <v>2</v>
      </c>
      <c r="I4" s="52">
        <v>9</v>
      </c>
      <c r="J4" s="152">
        <f>I4-H4</f>
        <v>7</v>
      </c>
      <c r="K4" s="153">
        <f>J4/H4</f>
        <v>3.5</v>
      </c>
      <c r="L4" s="107" t="s">
        <v>78</v>
      </c>
    </row>
    <row r="5" spans="1:12" ht="15" x14ac:dyDescent="0.25">
      <c r="A5" s="23" t="s">
        <v>20</v>
      </c>
      <c r="B5" s="61">
        <v>4253</v>
      </c>
      <c r="C5" s="61">
        <v>3383</v>
      </c>
      <c r="D5" s="114">
        <f t="shared" si="0"/>
        <v>-870</v>
      </c>
      <c r="E5" s="75">
        <f t="shared" si="1"/>
        <v>-0.20456148600987539</v>
      </c>
      <c r="F5" s="22"/>
      <c r="G5" s="18" t="s">
        <v>20</v>
      </c>
      <c r="H5" s="52">
        <f>372+11</f>
        <v>383</v>
      </c>
      <c r="I5" s="52">
        <f>317+8</f>
        <v>325</v>
      </c>
      <c r="J5" s="126">
        <f t="shared" ref="J5:J27" si="2">I5-H5</f>
        <v>-58</v>
      </c>
      <c r="K5" s="127">
        <f t="shared" ref="K5:K27" si="3">J5/H5</f>
        <v>-0.1514360313315927</v>
      </c>
      <c r="L5" s="107" t="s">
        <v>79</v>
      </c>
    </row>
    <row r="6" spans="1:12" ht="15" x14ac:dyDescent="0.25">
      <c r="A6" s="23" t="s">
        <v>24</v>
      </c>
      <c r="B6" s="61">
        <f>5846+8257</f>
        <v>14103</v>
      </c>
      <c r="C6" s="61">
        <f>5842+7124</f>
        <v>12966</v>
      </c>
      <c r="D6" s="114">
        <f t="shared" si="0"/>
        <v>-1137</v>
      </c>
      <c r="E6" s="75">
        <f t="shared" si="1"/>
        <v>-8.0621144437353756E-2</v>
      </c>
      <c r="F6" s="22"/>
      <c r="G6" s="18" t="s">
        <v>24</v>
      </c>
      <c r="H6" s="52">
        <v>1267</v>
      </c>
      <c r="I6" s="52">
        <f>664+536</f>
        <v>1200</v>
      </c>
      <c r="J6" s="126">
        <f t="shared" si="2"/>
        <v>-67</v>
      </c>
      <c r="K6" s="127">
        <f t="shared" si="3"/>
        <v>-5.288082083662194E-2</v>
      </c>
      <c r="L6" s="108" t="s">
        <v>89</v>
      </c>
    </row>
    <row r="7" spans="1:12" ht="15.75" customHeight="1" x14ac:dyDescent="0.25">
      <c r="A7" s="23" t="s">
        <v>48</v>
      </c>
      <c r="B7" s="61">
        <f>2856+7998</f>
        <v>10854</v>
      </c>
      <c r="C7" s="61">
        <v>9458</v>
      </c>
      <c r="D7" s="114">
        <f t="shared" si="0"/>
        <v>-1396</v>
      </c>
      <c r="E7" s="75">
        <f t="shared" si="1"/>
        <v>-0.12861617836742215</v>
      </c>
      <c r="F7" s="22"/>
      <c r="G7" s="23" t="s">
        <v>48</v>
      </c>
      <c r="H7" s="52">
        <v>776</v>
      </c>
      <c r="I7" s="52">
        <f>696+1+1</f>
        <v>698</v>
      </c>
      <c r="J7" s="126">
        <f t="shared" si="2"/>
        <v>-78</v>
      </c>
      <c r="K7" s="127">
        <f t="shared" si="3"/>
        <v>-0.10051546391752578</v>
      </c>
      <c r="L7" s="108" t="s">
        <v>95</v>
      </c>
    </row>
    <row r="8" spans="1:12" ht="15" x14ac:dyDescent="0.25">
      <c r="A8" s="23" t="s">
        <v>35</v>
      </c>
      <c r="B8" s="61">
        <v>4474</v>
      </c>
      <c r="C8" s="61">
        <v>4221</v>
      </c>
      <c r="D8" s="114">
        <f t="shared" si="0"/>
        <v>-253</v>
      </c>
      <c r="E8" s="75">
        <f t="shared" si="1"/>
        <v>-5.654894948591864E-2</v>
      </c>
      <c r="F8" s="22"/>
      <c r="G8" s="18" t="s">
        <v>35</v>
      </c>
      <c r="H8" s="52">
        <v>344</v>
      </c>
      <c r="I8" s="52">
        <v>329</v>
      </c>
      <c r="J8" s="126">
        <f t="shared" si="2"/>
        <v>-15</v>
      </c>
      <c r="K8" s="127">
        <f t="shared" si="3"/>
        <v>-4.3604651162790699E-2</v>
      </c>
      <c r="L8" s="108" t="s">
        <v>90</v>
      </c>
    </row>
    <row r="9" spans="1:12" ht="15" x14ac:dyDescent="0.25">
      <c r="A9" s="23" t="s">
        <v>46</v>
      </c>
      <c r="B9" s="61">
        <v>4821</v>
      </c>
      <c r="C9" s="61">
        <v>4746</v>
      </c>
      <c r="D9" s="114">
        <f t="shared" si="0"/>
        <v>-75</v>
      </c>
      <c r="E9" s="75">
        <f t="shared" si="1"/>
        <v>-1.5556938394523958E-2</v>
      </c>
      <c r="F9" s="22"/>
      <c r="G9" s="23" t="s">
        <v>46</v>
      </c>
      <c r="H9" s="52">
        <f>2+473</f>
        <v>475</v>
      </c>
      <c r="I9" s="52">
        <f>471+2</f>
        <v>473</v>
      </c>
      <c r="J9" s="126">
        <f t="shared" si="2"/>
        <v>-2</v>
      </c>
      <c r="K9" s="127">
        <f t="shared" si="3"/>
        <v>-4.2105263157894736E-3</v>
      </c>
      <c r="L9" s="108" t="s">
        <v>80</v>
      </c>
    </row>
    <row r="10" spans="1:12" ht="15" x14ac:dyDescent="0.25">
      <c r="A10" s="23" t="s">
        <v>71</v>
      </c>
      <c r="B10" s="61">
        <v>11924.5</v>
      </c>
      <c r="C10" s="61">
        <v>10788.5</v>
      </c>
      <c r="D10" s="134">
        <f t="shared" si="0"/>
        <v>-1136</v>
      </c>
      <c r="E10" s="135">
        <f t="shared" si="1"/>
        <v>-9.5266048890938829E-2</v>
      </c>
      <c r="F10" s="22"/>
      <c r="G10" s="18" t="s">
        <v>71</v>
      </c>
      <c r="H10" s="52">
        <v>810</v>
      </c>
      <c r="I10" s="52">
        <f>599+0</f>
        <v>599</v>
      </c>
      <c r="J10" s="126">
        <f t="shared" si="2"/>
        <v>-211</v>
      </c>
      <c r="K10" s="127">
        <f t="shared" si="3"/>
        <v>-0.26049382716049385</v>
      </c>
      <c r="L10" s="108" t="s">
        <v>81</v>
      </c>
    </row>
    <row r="11" spans="1:12" ht="14.25" customHeight="1" x14ac:dyDescent="0.25">
      <c r="A11" s="23" t="s">
        <v>33</v>
      </c>
      <c r="B11" s="61">
        <v>6967.5</v>
      </c>
      <c r="C11" s="61">
        <v>6745</v>
      </c>
      <c r="D11" s="114">
        <f t="shared" si="0"/>
        <v>-222.5</v>
      </c>
      <c r="E11" s="75">
        <f t="shared" si="1"/>
        <v>-3.1933979189092215E-2</v>
      </c>
      <c r="F11" s="22"/>
      <c r="G11" s="18" t="s">
        <v>33</v>
      </c>
      <c r="H11" s="52">
        <v>550</v>
      </c>
      <c r="I11" s="52">
        <v>534</v>
      </c>
      <c r="J11" s="126">
        <f t="shared" si="2"/>
        <v>-16</v>
      </c>
      <c r="K11" s="127">
        <f t="shared" si="3"/>
        <v>-2.9090909090909091E-2</v>
      </c>
      <c r="L11" s="108" t="s">
        <v>75</v>
      </c>
    </row>
    <row r="12" spans="1:12" ht="15" x14ac:dyDescent="0.25">
      <c r="A12" s="23" t="s">
        <v>47</v>
      </c>
      <c r="B12" s="61">
        <v>17080</v>
      </c>
      <c r="C12" s="61">
        <v>16323</v>
      </c>
      <c r="D12" s="114">
        <f t="shared" si="0"/>
        <v>-757</v>
      </c>
      <c r="E12" s="75">
        <f t="shared" si="1"/>
        <v>-4.4320843091334897E-2</v>
      </c>
      <c r="F12" s="22"/>
      <c r="G12" s="18" t="s">
        <v>47</v>
      </c>
      <c r="H12" s="52">
        <f>702+13+2</f>
        <v>717</v>
      </c>
      <c r="I12" s="52">
        <f>650+11+1</f>
        <v>662</v>
      </c>
      <c r="J12" s="126">
        <f t="shared" si="2"/>
        <v>-55</v>
      </c>
      <c r="K12" s="127">
        <f t="shared" si="3"/>
        <v>-7.6708507670850773E-2</v>
      </c>
      <c r="L12" s="108" t="s">
        <v>92</v>
      </c>
    </row>
    <row r="13" spans="1:12" ht="15" customHeight="1" x14ac:dyDescent="0.25">
      <c r="A13" s="23" t="s">
        <v>38</v>
      </c>
      <c r="B13" s="61">
        <v>995</v>
      </c>
      <c r="C13" s="61">
        <v>607</v>
      </c>
      <c r="D13" s="114">
        <f t="shared" si="0"/>
        <v>-388</v>
      </c>
      <c r="E13" s="75">
        <f t="shared" si="1"/>
        <v>-0.38994974874371857</v>
      </c>
      <c r="F13" s="22"/>
      <c r="G13" s="18" t="s">
        <v>38</v>
      </c>
      <c r="H13" s="52">
        <f>12+31</f>
        <v>43</v>
      </c>
      <c r="I13" s="52">
        <f>16+5+6</f>
        <v>27</v>
      </c>
      <c r="J13" s="126">
        <f t="shared" si="2"/>
        <v>-16</v>
      </c>
      <c r="K13" s="127">
        <f t="shared" si="3"/>
        <v>-0.37209302325581395</v>
      </c>
      <c r="L13" s="109" t="s">
        <v>91</v>
      </c>
    </row>
    <row r="14" spans="1:12" ht="14.25" customHeight="1" x14ac:dyDescent="0.25">
      <c r="A14" s="23" t="s">
        <v>21</v>
      </c>
      <c r="B14" s="61">
        <v>7346</v>
      </c>
      <c r="C14" s="61">
        <v>7934</v>
      </c>
      <c r="D14" s="72">
        <f t="shared" si="0"/>
        <v>588</v>
      </c>
      <c r="E14" s="73">
        <f t="shared" si="1"/>
        <v>8.0043561121698886E-2</v>
      </c>
      <c r="F14" s="22"/>
      <c r="G14" s="18" t="s">
        <v>21</v>
      </c>
      <c r="H14" s="52">
        <f>2+645</f>
        <v>647</v>
      </c>
      <c r="I14" s="52">
        <f>686+9</f>
        <v>695</v>
      </c>
      <c r="J14" s="139">
        <f t="shared" si="2"/>
        <v>48</v>
      </c>
      <c r="K14" s="140">
        <f t="shared" si="3"/>
        <v>7.4188562596599686E-2</v>
      </c>
      <c r="L14" s="109" t="s">
        <v>82</v>
      </c>
    </row>
    <row r="15" spans="1:12" ht="15" x14ac:dyDescent="0.25">
      <c r="A15" s="23" t="s">
        <v>40</v>
      </c>
      <c r="B15" s="61">
        <v>419</v>
      </c>
      <c r="C15" s="61">
        <v>435</v>
      </c>
      <c r="D15" s="72">
        <f t="shared" si="0"/>
        <v>16</v>
      </c>
      <c r="E15" s="73">
        <f t="shared" si="1"/>
        <v>3.8186157517899763E-2</v>
      </c>
      <c r="F15" s="22"/>
      <c r="G15" s="23" t="s">
        <v>40</v>
      </c>
      <c r="H15" s="52">
        <f>24+43</f>
        <v>67</v>
      </c>
      <c r="I15" s="52">
        <f>19+38</f>
        <v>57</v>
      </c>
      <c r="J15" s="126">
        <f t="shared" si="2"/>
        <v>-10</v>
      </c>
      <c r="K15" s="127">
        <f t="shared" si="3"/>
        <v>-0.14925373134328357</v>
      </c>
      <c r="L15" s="108" t="s">
        <v>83</v>
      </c>
    </row>
    <row r="16" spans="1:12" ht="15" customHeight="1" x14ac:dyDescent="0.25">
      <c r="A16" s="23" t="s">
        <v>74</v>
      </c>
      <c r="B16" s="61">
        <v>4109</v>
      </c>
      <c r="C16" s="61">
        <v>3676</v>
      </c>
      <c r="D16" s="114">
        <f t="shared" si="0"/>
        <v>-433</v>
      </c>
      <c r="E16" s="75">
        <f t="shared" si="1"/>
        <v>-0.10537843757605257</v>
      </c>
      <c r="F16" s="22"/>
      <c r="G16" s="18" t="s">
        <v>73</v>
      </c>
      <c r="H16" s="52">
        <v>385</v>
      </c>
      <c r="I16" s="52">
        <v>354</v>
      </c>
      <c r="J16" s="126">
        <f t="shared" si="2"/>
        <v>-31</v>
      </c>
      <c r="K16" s="127">
        <f t="shared" si="3"/>
        <v>-8.0519480519480519E-2</v>
      </c>
      <c r="L16" s="108" t="s">
        <v>84</v>
      </c>
    </row>
    <row r="17" spans="1:12" ht="15" x14ac:dyDescent="0.25">
      <c r="A17" s="18" t="s">
        <v>37</v>
      </c>
      <c r="B17" s="61">
        <v>3040</v>
      </c>
      <c r="C17" s="61">
        <v>3852</v>
      </c>
      <c r="D17" s="72">
        <f t="shared" si="0"/>
        <v>812</v>
      </c>
      <c r="E17" s="73">
        <f t="shared" si="1"/>
        <v>0.26710526315789473</v>
      </c>
      <c r="F17" s="22"/>
      <c r="G17" s="18" t="s">
        <v>37</v>
      </c>
      <c r="H17" s="52">
        <f>196+10</f>
        <v>206</v>
      </c>
      <c r="I17" s="52">
        <f>236+9</f>
        <v>245</v>
      </c>
      <c r="J17" s="139">
        <f t="shared" si="2"/>
        <v>39</v>
      </c>
      <c r="K17" s="140">
        <f t="shared" si="3"/>
        <v>0.18932038834951456</v>
      </c>
      <c r="L17" s="108" t="s">
        <v>85</v>
      </c>
    </row>
    <row r="18" spans="1:12" ht="15" x14ac:dyDescent="0.25">
      <c r="A18" s="23" t="s">
        <v>22</v>
      </c>
      <c r="B18" s="61">
        <v>28198</v>
      </c>
      <c r="C18" s="61">
        <v>27924</v>
      </c>
      <c r="D18" s="114">
        <f t="shared" si="0"/>
        <v>-274</v>
      </c>
      <c r="E18" s="75">
        <f t="shared" si="1"/>
        <v>-9.7170012057592736E-3</v>
      </c>
      <c r="F18" s="22"/>
      <c r="G18" s="18" t="s">
        <v>22</v>
      </c>
      <c r="H18" s="52">
        <f>1278+23+3</f>
        <v>1304</v>
      </c>
      <c r="I18" s="52">
        <f>1275+27+4+1</f>
        <v>1307</v>
      </c>
      <c r="J18" s="139">
        <f t="shared" si="2"/>
        <v>3</v>
      </c>
      <c r="K18" s="140">
        <f t="shared" si="3"/>
        <v>2.3006134969325155E-3</v>
      </c>
      <c r="L18" s="108" t="s">
        <v>94</v>
      </c>
    </row>
    <row r="19" spans="1:12" ht="15.75" customHeight="1" x14ac:dyDescent="0.25">
      <c r="A19" s="23" t="s">
        <v>41</v>
      </c>
      <c r="B19" s="61">
        <f>4456+56</f>
        <v>4512</v>
      </c>
      <c r="C19" s="61">
        <f>4704+59</f>
        <v>4763</v>
      </c>
      <c r="D19" s="72">
        <f t="shared" si="0"/>
        <v>251</v>
      </c>
      <c r="E19" s="73">
        <f t="shared" si="1"/>
        <v>5.5629432624113476E-2</v>
      </c>
      <c r="F19" s="22"/>
      <c r="G19" s="18" t="s">
        <v>41</v>
      </c>
      <c r="H19" s="52">
        <f>3+2+403</f>
        <v>408</v>
      </c>
      <c r="I19" s="52">
        <f>435+2+4+1</f>
        <v>442</v>
      </c>
      <c r="J19" s="139">
        <f t="shared" si="2"/>
        <v>34</v>
      </c>
      <c r="K19" s="140">
        <f t="shared" si="3"/>
        <v>8.3333333333333329E-2</v>
      </c>
      <c r="L19" s="108" t="s">
        <v>96</v>
      </c>
    </row>
    <row r="20" spans="1:12" ht="15" x14ac:dyDescent="0.25">
      <c r="A20" s="23" t="s">
        <v>43</v>
      </c>
      <c r="B20" s="61">
        <v>0</v>
      </c>
      <c r="C20" s="61">
        <v>18</v>
      </c>
      <c r="D20" s="72">
        <f t="shared" si="0"/>
        <v>18</v>
      </c>
      <c r="E20" s="73" t="s">
        <v>45</v>
      </c>
      <c r="F20" s="22"/>
      <c r="G20" s="18" t="s">
        <v>65</v>
      </c>
      <c r="H20" s="52">
        <v>21</v>
      </c>
      <c r="I20" s="52">
        <f>17</f>
        <v>17</v>
      </c>
      <c r="J20" s="126">
        <f t="shared" si="2"/>
        <v>-4</v>
      </c>
      <c r="K20" s="127">
        <f t="shared" si="3"/>
        <v>-0.19047619047619047</v>
      </c>
      <c r="L20" s="108" t="s">
        <v>76</v>
      </c>
    </row>
    <row r="21" spans="1:12" ht="15" customHeight="1" x14ac:dyDescent="0.25">
      <c r="A21" s="23" t="s">
        <v>6</v>
      </c>
      <c r="B21" s="61">
        <v>12</v>
      </c>
      <c r="C21" s="61">
        <v>1</v>
      </c>
      <c r="D21" s="114">
        <f>C21-B21</f>
        <v>-11</v>
      </c>
      <c r="E21" s="75">
        <f t="shared" si="1"/>
        <v>-0.91666666666666663</v>
      </c>
      <c r="F21" s="22"/>
      <c r="G21" s="18" t="s">
        <v>23</v>
      </c>
      <c r="H21" s="52">
        <v>1478</v>
      </c>
      <c r="I21" s="52">
        <f>1452</f>
        <v>1452</v>
      </c>
      <c r="J21" s="134">
        <f t="shared" si="2"/>
        <v>-26</v>
      </c>
      <c r="K21" s="135">
        <f t="shared" si="3"/>
        <v>-1.7591339648173207E-2</v>
      </c>
      <c r="L21" s="141" t="s">
        <v>93</v>
      </c>
    </row>
    <row r="22" spans="1:12" ht="15" customHeight="1" x14ac:dyDescent="0.25">
      <c r="A22" s="35" t="s">
        <v>23</v>
      </c>
      <c r="B22" s="61">
        <v>99</v>
      </c>
      <c r="C22" s="61">
        <v>46</v>
      </c>
      <c r="D22" s="114">
        <f>C22-B22</f>
        <v>-53</v>
      </c>
      <c r="E22" s="75">
        <f t="shared" ref="E22" si="4">D22/B22</f>
        <v>-0.53535353535353536</v>
      </c>
      <c r="F22" s="99"/>
      <c r="G22" s="142" t="s">
        <v>66</v>
      </c>
      <c r="H22" s="52">
        <v>0</v>
      </c>
      <c r="I22" s="52">
        <v>0</v>
      </c>
      <c r="J22" s="154">
        <f t="shared" ref="J22" si="5">I22-H22</f>
        <v>0</v>
      </c>
      <c r="K22" s="155" t="s">
        <v>45</v>
      </c>
      <c r="L22" s="141" t="s">
        <v>77</v>
      </c>
    </row>
    <row r="23" spans="1:12" ht="15" customHeight="1" x14ac:dyDescent="0.25">
      <c r="A23" s="35" t="s">
        <v>62</v>
      </c>
      <c r="B23" s="110">
        <v>43</v>
      </c>
      <c r="C23" s="111">
        <v>152</v>
      </c>
      <c r="D23" s="72">
        <f t="shared" si="0"/>
        <v>109</v>
      </c>
      <c r="E23" s="73">
        <f>D23/B23</f>
        <v>2.5348837209302326</v>
      </c>
      <c r="F23" s="99"/>
      <c r="G23" s="143"/>
      <c r="H23" s="52"/>
      <c r="I23" s="52"/>
      <c r="J23" s="126"/>
      <c r="K23" s="127"/>
      <c r="L23" s="199"/>
    </row>
    <row r="24" spans="1:12" ht="14.25" customHeight="1" x14ac:dyDescent="0.25">
      <c r="A24" s="36" t="s">
        <v>31</v>
      </c>
      <c r="B24" s="62">
        <f>SUM(B4:B23)</f>
        <v>123254</v>
      </c>
      <c r="C24" s="62">
        <f>SUM(C4:C23)</f>
        <v>118053.5</v>
      </c>
      <c r="D24" s="138">
        <f>C24-B24</f>
        <v>-5200.5</v>
      </c>
      <c r="E24" s="129">
        <f>D24/B24</f>
        <v>-4.2193356807892643E-2</v>
      </c>
      <c r="F24" s="113"/>
      <c r="G24" s="112" t="s">
        <v>97</v>
      </c>
      <c r="H24" s="51">
        <f>SUM(H4:H22)-20</f>
        <v>9863</v>
      </c>
      <c r="I24" s="51">
        <f>SUM(I4:I22)-11</f>
        <v>9414</v>
      </c>
      <c r="J24" s="136">
        <f>I24-H24</f>
        <v>-449</v>
      </c>
      <c r="K24" s="137">
        <f>J24/H24</f>
        <v>-4.5523674338436584E-2</v>
      </c>
    </row>
    <row r="25" spans="1:12" ht="14.25" customHeight="1" x14ac:dyDescent="0.25">
      <c r="A25" s="33" t="s">
        <v>14</v>
      </c>
      <c r="B25" s="105">
        <v>3709</v>
      </c>
      <c r="C25" s="106">
        <v>4425</v>
      </c>
      <c r="D25" s="119">
        <f t="shared" ref="D25" si="6">C25-B25</f>
        <v>716</v>
      </c>
      <c r="E25" s="146">
        <f t="shared" ref="E25" si="7">D25/B25</f>
        <v>0.19304394715556752</v>
      </c>
      <c r="F25" s="24"/>
      <c r="G25" s="33" t="s">
        <v>14</v>
      </c>
      <c r="H25" s="64">
        <v>302</v>
      </c>
      <c r="I25" s="64">
        <v>346</v>
      </c>
      <c r="J25" s="118">
        <f>I25-H25</f>
        <v>44</v>
      </c>
      <c r="K25" s="151">
        <f>J25/H25</f>
        <v>0.14569536423841059</v>
      </c>
      <c r="L25" s="166" t="s">
        <v>70</v>
      </c>
    </row>
    <row r="26" spans="1:12" ht="15" customHeight="1" x14ac:dyDescent="0.25">
      <c r="A26" s="100" t="s">
        <v>72</v>
      </c>
      <c r="B26" s="46">
        <v>0</v>
      </c>
      <c r="C26" s="46">
        <v>2367</v>
      </c>
      <c r="D26" s="119">
        <f>C26-B26</f>
        <v>2367</v>
      </c>
      <c r="E26" s="146" t="s">
        <v>45</v>
      </c>
      <c r="F26" s="99"/>
      <c r="G26" s="100" t="s">
        <v>72</v>
      </c>
      <c r="H26" s="116">
        <v>0</v>
      </c>
      <c r="I26" s="117">
        <v>193</v>
      </c>
      <c r="J26" s="118">
        <f>I26-H26</f>
        <v>193</v>
      </c>
      <c r="K26" s="183" t="s">
        <v>45</v>
      </c>
      <c r="L26" s="167"/>
    </row>
    <row r="27" spans="1:12" ht="18" customHeight="1" thickBot="1" x14ac:dyDescent="0.3">
      <c r="A27" s="95" t="s">
        <v>44</v>
      </c>
      <c r="B27" s="96">
        <f>SUM(B24:B26)</f>
        <v>126963</v>
      </c>
      <c r="C27" s="96">
        <f>SUM(C24:C26)</f>
        <v>124845.5</v>
      </c>
      <c r="D27" s="147">
        <f t="shared" ref="D27" si="8">C27-B27</f>
        <v>-2117.5</v>
      </c>
      <c r="E27" s="148">
        <f t="shared" ref="E27" si="9">D27/B27</f>
        <v>-1.6678087316777328E-2</v>
      </c>
      <c r="F27" s="25"/>
      <c r="G27" s="34" t="s">
        <v>44</v>
      </c>
      <c r="H27" s="63">
        <f>SUM(H24:H26)</f>
        <v>10165</v>
      </c>
      <c r="I27" s="63">
        <f>SUM(I24:I26)</f>
        <v>9953</v>
      </c>
      <c r="J27" s="156">
        <f t="shared" si="2"/>
        <v>-212</v>
      </c>
      <c r="K27" s="157">
        <f t="shared" si="3"/>
        <v>-2.0855878012788983E-2</v>
      </c>
      <c r="L27" s="167"/>
    </row>
    <row r="28" spans="1:12" ht="14.25" customHeight="1" thickTop="1" x14ac:dyDescent="0.2">
      <c r="A28" s="187" t="s">
        <v>9</v>
      </c>
      <c r="B28" s="187"/>
      <c r="C28" s="187"/>
      <c r="D28" s="187"/>
      <c r="E28" s="187"/>
      <c r="F28" s="26"/>
      <c r="G28" s="192"/>
      <c r="H28" s="190"/>
      <c r="I28" s="190"/>
      <c r="J28" s="190"/>
      <c r="K28" s="190"/>
      <c r="L28" s="167"/>
    </row>
    <row r="29" spans="1:12" s="13" customFormat="1" ht="13.5" customHeight="1" x14ac:dyDescent="0.2">
      <c r="A29" s="188"/>
      <c r="B29" s="188"/>
      <c r="C29" s="188"/>
      <c r="D29" s="188"/>
      <c r="E29" s="188"/>
      <c r="F29" s="17"/>
      <c r="G29" s="193"/>
      <c r="H29" s="165"/>
      <c r="I29" s="165"/>
      <c r="J29" s="165"/>
      <c r="K29" s="165"/>
      <c r="L29" s="167"/>
    </row>
    <row r="30" spans="1:12" ht="10.5" customHeight="1" thickBot="1" x14ac:dyDescent="0.25">
      <c r="A30" s="189"/>
      <c r="B30" s="189"/>
      <c r="C30" s="189"/>
      <c r="D30" s="189"/>
      <c r="E30" s="189"/>
      <c r="F30" s="17"/>
      <c r="G30" s="194"/>
      <c r="H30" s="191"/>
      <c r="I30" s="191"/>
      <c r="J30" s="191"/>
      <c r="K30" s="191"/>
      <c r="L30" s="168"/>
    </row>
    <row r="31" spans="1:12" s="13" customFormat="1" ht="13.5" customHeight="1" thickBot="1" x14ac:dyDescent="0.25">
      <c r="A31" s="77" t="s">
        <v>61</v>
      </c>
      <c r="B31" s="19">
        <v>2018</v>
      </c>
      <c r="C31" s="19">
        <v>2019</v>
      </c>
      <c r="D31" s="93" t="s">
        <v>0</v>
      </c>
      <c r="E31" s="94" t="s">
        <v>1</v>
      </c>
      <c r="F31" s="26"/>
      <c r="G31" s="66" t="s">
        <v>59</v>
      </c>
      <c r="H31" s="19">
        <v>2018</v>
      </c>
      <c r="I31" s="19">
        <v>2019</v>
      </c>
      <c r="J31" s="19" t="s">
        <v>0</v>
      </c>
      <c r="K31" s="20" t="s">
        <v>1</v>
      </c>
    </row>
    <row r="32" spans="1:12" ht="17.25" customHeight="1" x14ac:dyDescent="0.25">
      <c r="A32" s="80" t="s">
        <v>26</v>
      </c>
      <c r="B32" s="92">
        <f>32+236</f>
        <v>268</v>
      </c>
      <c r="C32" s="65">
        <f>45+212</f>
        <v>257</v>
      </c>
      <c r="D32" s="76">
        <f>C32-B32</f>
        <v>-11</v>
      </c>
      <c r="E32" s="115">
        <f>D32/B32</f>
        <v>-4.1044776119402986E-2</v>
      </c>
      <c r="F32" s="27"/>
      <c r="G32" s="48" t="s">
        <v>7</v>
      </c>
      <c r="H32" s="82">
        <f>203+1710+2031+3433+26+18+84</f>
        <v>7505</v>
      </c>
      <c r="I32" s="82">
        <f>181+1621+1959+3219+44+26+80</f>
        <v>7130</v>
      </c>
      <c r="J32" s="114">
        <f>I32-H32</f>
        <v>-375</v>
      </c>
      <c r="K32" s="74">
        <f>J32/H32</f>
        <v>-4.9966688874083946E-2</v>
      </c>
      <c r="L32" s="200" t="s">
        <v>49</v>
      </c>
    </row>
    <row r="33" spans="1:12" s="3" customFormat="1" ht="16.5" customHeight="1" x14ac:dyDescent="0.25">
      <c r="A33" s="81" t="s">
        <v>5</v>
      </c>
      <c r="B33" s="92">
        <v>1876</v>
      </c>
      <c r="C33" s="65">
        <v>1790</v>
      </c>
      <c r="D33" s="76">
        <f t="shared" ref="D33:D35" si="10">C33-B33</f>
        <v>-86</v>
      </c>
      <c r="E33" s="115">
        <f t="shared" ref="E33:E35" si="11">D33/B33</f>
        <v>-4.5842217484008532E-2</v>
      </c>
      <c r="F33" s="27"/>
      <c r="G33" s="23" t="s">
        <v>8</v>
      </c>
      <c r="H33" s="124">
        <v>98892</v>
      </c>
      <c r="I33" s="83">
        <v>94067</v>
      </c>
      <c r="J33" s="114">
        <f>I33-H33</f>
        <v>-4825</v>
      </c>
      <c r="K33" s="74">
        <f>J33/H33</f>
        <v>-4.8790599846296967E-2</v>
      </c>
      <c r="L33" s="201"/>
    </row>
    <row r="34" spans="1:12" ht="15" customHeight="1" x14ac:dyDescent="0.25">
      <c r="A34" s="81" t="s">
        <v>27</v>
      </c>
      <c r="B34" s="92">
        <v>2222</v>
      </c>
      <c r="C34" s="65">
        <v>2142</v>
      </c>
      <c r="D34" s="76">
        <f t="shared" si="10"/>
        <v>-80</v>
      </c>
      <c r="E34" s="115">
        <f t="shared" si="11"/>
        <v>-3.6003600360036005E-2</v>
      </c>
      <c r="F34" s="27"/>
      <c r="G34" s="49" t="s">
        <v>10</v>
      </c>
      <c r="H34" s="84">
        <f>H32+1455</f>
        <v>8960</v>
      </c>
      <c r="I34" s="84">
        <f>I32+1324</f>
        <v>8454</v>
      </c>
      <c r="J34" s="130">
        <f>I34-H34</f>
        <v>-506</v>
      </c>
      <c r="K34" s="131">
        <f>J34/H34</f>
        <v>-5.6473214285714286E-2</v>
      </c>
      <c r="L34" s="201"/>
    </row>
    <row r="35" spans="1:12" ht="15.75" customHeight="1" thickBot="1" x14ac:dyDescent="0.3">
      <c r="A35" s="81" t="s">
        <v>28</v>
      </c>
      <c r="B35" s="92">
        <v>3660</v>
      </c>
      <c r="C35" s="65">
        <v>3513</v>
      </c>
      <c r="D35" s="76">
        <f t="shared" si="10"/>
        <v>-147</v>
      </c>
      <c r="E35" s="115">
        <f t="shared" si="11"/>
        <v>-4.0163934426229508E-2</v>
      </c>
      <c r="F35" s="27"/>
      <c r="G35" s="50" t="s">
        <v>11</v>
      </c>
      <c r="H35" s="125">
        <v>112405</v>
      </c>
      <c r="I35" s="85">
        <v>106398</v>
      </c>
      <c r="J35" s="132">
        <f>I35-H35</f>
        <v>-6007</v>
      </c>
      <c r="K35" s="133">
        <f>J35/H35</f>
        <v>-5.3440683243627954E-2</v>
      </c>
      <c r="L35" s="202"/>
    </row>
    <row r="36" spans="1:12" ht="15.75" customHeight="1" thickBot="1" x14ac:dyDescent="0.3">
      <c r="A36" s="44" t="s">
        <v>34</v>
      </c>
      <c r="B36" s="51">
        <f>SUM(B32:B35)</f>
        <v>8026</v>
      </c>
      <c r="C36" s="51">
        <f>SUM(C32:C35)</f>
        <v>7702</v>
      </c>
      <c r="D36" s="128">
        <f t="shared" ref="D36:D38" si="12">C36-B36</f>
        <v>-324</v>
      </c>
      <c r="E36" s="129">
        <f t="shared" ref="E36:E38" si="13">D36/B36</f>
        <v>-4.036880139546474E-2</v>
      </c>
      <c r="F36" s="27"/>
      <c r="G36" s="42"/>
      <c r="H36" s="86"/>
      <c r="I36" s="91"/>
      <c r="J36" s="98"/>
      <c r="K36" s="97"/>
    </row>
    <row r="37" spans="1:12" ht="16.5" customHeight="1" thickBot="1" x14ac:dyDescent="0.3">
      <c r="A37" s="43" t="s">
        <v>30</v>
      </c>
      <c r="B37" s="52">
        <f>18+90</f>
        <v>108</v>
      </c>
      <c r="C37" s="52">
        <f>26+88</f>
        <v>114</v>
      </c>
      <c r="D37" s="76">
        <f t="shared" si="12"/>
        <v>6</v>
      </c>
      <c r="E37" s="75">
        <f t="shared" si="13"/>
        <v>5.5555555555555552E-2</v>
      </c>
      <c r="F37" s="27"/>
      <c r="G37" s="67" t="s">
        <v>60</v>
      </c>
      <c r="H37" s="19">
        <v>2018</v>
      </c>
      <c r="I37" s="19">
        <v>2019</v>
      </c>
      <c r="J37" s="68" t="s">
        <v>0</v>
      </c>
      <c r="K37" s="69" t="s">
        <v>1</v>
      </c>
      <c r="L37" s="196" t="s">
        <v>88</v>
      </c>
    </row>
    <row r="38" spans="1:12" ht="15" customHeight="1" x14ac:dyDescent="0.25">
      <c r="A38" s="44" t="s">
        <v>6</v>
      </c>
      <c r="B38" s="51">
        <f>30+1084</f>
        <v>1114</v>
      </c>
      <c r="C38" s="51">
        <f>27+962</f>
        <v>989</v>
      </c>
      <c r="D38" s="128">
        <f t="shared" si="12"/>
        <v>-125</v>
      </c>
      <c r="E38" s="129">
        <f t="shared" si="13"/>
        <v>-0.11220825852782765</v>
      </c>
      <c r="F38" s="27"/>
      <c r="G38" s="39" t="s">
        <v>7</v>
      </c>
      <c r="H38" s="87">
        <f>33+166+191+227+6+6</f>
        <v>629</v>
      </c>
      <c r="I38" s="87">
        <f>31+169+183+294+1+8</f>
        <v>686</v>
      </c>
      <c r="J38" s="78">
        <f>I38-H38</f>
        <v>57</v>
      </c>
      <c r="K38" s="79">
        <f>J38/H38</f>
        <v>9.0620031796502382E-2</v>
      </c>
      <c r="L38" s="195"/>
    </row>
    <row r="39" spans="1:12" ht="14.25" customHeight="1" x14ac:dyDescent="0.25">
      <c r="A39" s="120" t="s">
        <v>63</v>
      </c>
      <c r="B39" s="51">
        <v>562</v>
      </c>
      <c r="C39" s="51">
        <v>550</v>
      </c>
      <c r="D39" s="128">
        <f>C39-B39</f>
        <v>-12</v>
      </c>
      <c r="E39" s="129">
        <f>D39/B39</f>
        <v>-2.1352313167259787E-2</v>
      </c>
      <c r="F39" s="17"/>
      <c r="G39" s="18" t="s">
        <v>8</v>
      </c>
      <c r="H39" s="83">
        <v>8335</v>
      </c>
      <c r="I39" s="88">
        <v>9077</v>
      </c>
      <c r="J39" s="78">
        <f>I39-H39</f>
        <v>742</v>
      </c>
      <c r="K39" s="79">
        <f>J39/H39</f>
        <v>8.9022195560887821E-2</v>
      </c>
      <c r="L39" s="169" t="s">
        <v>98</v>
      </c>
    </row>
    <row r="40" spans="1:12" ht="16.5" customHeight="1" x14ac:dyDescent="0.25">
      <c r="A40" s="44" t="s">
        <v>64</v>
      </c>
      <c r="B40" s="122">
        <v>45</v>
      </c>
      <c r="C40" s="123">
        <v>46</v>
      </c>
      <c r="D40" s="103">
        <f>C40-B40</f>
        <v>1</v>
      </c>
      <c r="E40" s="104">
        <f>D40/B40</f>
        <v>2.2222222222222223E-2</v>
      </c>
      <c r="F40" s="17"/>
      <c r="G40" s="40" t="s">
        <v>12</v>
      </c>
      <c r="H40" s="89">
        <f>H38+274</f>
        <v>903</v>
      </c>
      <c r="I40" s="89">
        <f>I38+274</f>
        <v>960</v>
      </c>
      <c r="J40" s="37">
        <f>I40-H40</f>
        <v>57</v>
      </c>
      <c r="K40" s="79">
        <f t="shared" ref="K40:K41" si="14">J40/H40</f>
        <v>6.3122923588039864E-2</v>
      </c>
      <c r="L40" s="170"/>
    </row>
    <row r="41" spans="1:12" ht="15.75" customHeight="1" thickBot="1" x14ac:dyDescent="0.3">
      <c r="A41" s="45" t="s">
        <v>29</v>
      </c>
      <c r="B41" s="121">
        <v>28</v>
      </c>
      <c r="C41" s="121">
        <v>24</v>
      </c>
      <c r="D41" s="149">
        <f>C41-B41</f>
        <v>-4</v>
      </c>
      <c r="E41" s="150">
        <f>D41/B41</f>
        <v>-0.14285714285714285</v>
      </c>
      <c r="F41" s="17"/>
      <c r="G41" s="41" t="s">
        <v>13</v>
      </c>
      <c r="H41" s="85">
        <v>10849</v>
      </c>
      <c r="I41" s="90">
        <v>11656</v>
      </c>
      <c r="J41" s="38">
        <f>I41-H41</f>
        <v>807</v>
      </c>
      <c r="K41" s="197">
        <f t="shared" si="14"/>
        <v>7.4384735920361322E-2</v>
      </c>
      <c r="L41" s="170"/>
    </row>
    <row r="42" spans="1:12" ht="12" customHeight="1" thickBot="1" x14ac:dyDescent="0.25">
      <c r="A42" s="184" t="s">
        <v>86</v>
      </c>
      <c r="B42" s="184"/>
      <c r="C42" s="184"/>
      <c r="D42" s="184"/>
      <c r="E42" s="184"/>
      <c r="F42" s="17"/>
      <c r="G42" s="5"/>
      <c r="H42" s="9"/>
      <c r="I42" s="9"/>
      <c r="L42" s="198" t="s">
        <v>58</v>
      </c>
    </row>
    <row r="43" spans="1:12" ht="13.5" customHeight="1" thickBot="1" x14ac:dyDescent="0.25">
      <c r="A43" s="185"/>
      <c r="B43" s="185"/>
      <c r="C43" s="185"/>
      <c r="D43" s="185"/>
      <c r="E43" s="185"/>
      <c r="F43" s="17"/>
      <c r="G43" s="177" t="s">
        <v>25</v>
      </c>
      <c r="H43" s="178"/>
      <c r="I43" s="178"/>
      <c r="J43" s="19">
        <v>2017</v>
      </c>
      <c r="K43" s="20">
        <v>2018</v>
      </c>
      <c r="L43" s="203"/>
    </row>
    <row r="44" spans="1:12" ht="12.75" customHeight="1" x14ac:dyDescent="0.25">
      <c r="A44" s="185"/>
      <c r="B44" s="185"/>
      <c r="C44" s="185"/>
      <c r="D44" s="185"/>
      <c r="E44" s="185"/>
      <c r="F44" s="28"/>
      <c r="G44" s="173" t="s">
        <v>18</v>
      </c>
      <c r="H44" s="174"/>
      <c r="I44" s="174"/>
      <c r="J44" s="31">
        <f>H38/H24</f>
        <v>6.3773699685694005E-2</v>
      </c>
      <c r="K44" s="32">
        <f>I38/I24</f>
        <v>7.2870193329084343E-2</v>
      </c>
      <c r="L44" s="204"/>
    </row>
    <row r="45" spans="1:12" ht="12.75" customHeight="1" x14ac:dyDescent="0.25">
      <c r="A45" s="185"/>
      <c r="B45" s="185"/>
      <c r="C45" s="185"/>
      <c r="D45" s="185"/>
      <c r="E45" s="185"/>
      <c r="F45" s="28"/>
      <c r="G45" s="171" t="s">
        <v>15</v>
      </c>
      <c r="H45" s="172"/>
      <c r="I45" s="172"/>
      <c r="J45" s="31">
        <f>H39/B24</f>
        <v>6.7624580135330292E-2</v>
      </c>
      <c r="K45" s="11">
        <f>I39/C24</f>
        <v>7.6888868182646009E-2</v>
      </c>
      <c r="L45" s="205"/>
    </row>
    <row r="46" spans="1:12" ht="12" customHeight="1" x14ac:dyDescent="0.25">
      <c r="A46" s="185"/>
      <c r="B46" s="185"/>
      <c r="C46" s="185"/>
      <c r="D46" s="185"/>
      <c r="E46" s="185"/>
      <c r="F46" s="29"/>
      <c r="G46" s="175" t="s">
        <v>16</v>
      </c>
      <c r="H46" s="176"/>
      <c r="I46" s="176"/>
      <c r="J46" s="31">
        <f>H40/H24</f>
        <v>9.1554293825408084E-2</v>
      </c>
      <c r="K46" s="11">
        <f>I40/I24</f>
        <v>0.10197578075207138</v>
      </c>
      <c r="L46" s="179" t="s">
        <v>42</v>
      </c>
    </row>
    <row r="47" spans="1:12" ht="3.75" hidden="1" customHeight="1" x14ac:dyDescent="0.25">
      <c r="A47" s="185"/>
      <c r="B47" s="185"/>
      <c r="C47" s="185"/>
      <c r="D47" s="185"/>
      <c r="E47" s="185"/>
      <c r="F47" s="29"/>
      <c r="G47" s="175" t="s">
        <v>17</v>
      </c>
      <c r="H47" s="176"/>
      <c r="I47" s="176"/>
      <c r="J47" s="31">
        <f t="shared" ref="J47" si="15">H41/H27</f>
        <v>1.0672897196261681</v>
      </c>
      <c r="K47" s="11">
        <f>I41/C24</f>
        <v>9.8734895619359025E-2</v>
      </c>
      <c r="L47" s="180"/>
    </row>
    <row r="48" spans="1:12" ht="15" customHeight="1" thickBot="1" x14ac:dyDescent="0.3">
      <c r="A48" s="185"/>
      <c r="B48" s="185"/>
      <c r="C48" s="185"/>
      <c r="D48" s="185"/>
      <c r="E48" s="185"/>
      <c r="F48" s="17"/>
      <c r="G48" s="181" t="s">
        <v>17</v>
      </c>
      <c r="H48" s="182"/>
      <c r="I48" s="182"/>
      <c r="J48" s="186">
        <f>H41/B24</f>
        <v>8.8021484089765845E-2</v>
      </c>
      <c r="K48" s="12">
        <f>I41/C24</f>
        <v>9.8734895619359025E-2</v>
      </c>
      <c r="L48" s="180"/>
    </row>
    <row r="49" spans="1:12" x14ac:dyDescent="0.2">
      <c r="A49" s="30" t="s">
        <v>39</v>
      </c>
      <c r="L49" s="102" t="s">
        <v>87</v>
      </c>
    </row>
  </sheetData>
  <mergeCells count="19">
    <mergeCell ref="A28:E30"/>
    <mergeCell ref="L37:L38"/>
    <mergeCell ref="L25:L30"/>
    <mergeCell ref="L32:L35"/>
    <mergeCell ref="G43:I43"/>
    <mergeCell ref="G46:I46"/>
    <mergeCell ref="L43:L45"/>
    <mergeCell ref="L46:L48"/>
    <mergeCell ref="G48:I48"/>
    <mergeCell ref="A42:E48"/>
    <mergeCell ref="L39:L41"/>
    <mergeCell ref="G45:I45"/>
    <mergeCell ref="G44:I44"/>
    <mergeCell ref="G47:I47"/>
    <mergeCell ref="B1:D1"/>
    <mergeCell ref="A2:C2"/>
    <mergeCell ref="G2:J2"/>
    <mergeCell ref="G1:L1"/>
    <mergeCell ref="G28:K30"/>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E6" sqref="E6"/>
    </sheetView>
  </sheetViews>
  <sheetFormatPr defaultRowHeight="12.75" x14ac:dyDescent="0.2"/>
  <cols>
    <col min="1" max="1" width="15.7109375" customWidth="1"/>
    <col min="2" max="2" width="14.7109375" customWidth="1"/>
    <col min="5" max="5" width="15" customWidth="1"/>
  </cols>
  <sheetData>
    <row r="2" spans="1:6" x14ac:dyDescent="0.2">
      <c r="B2" s="42" t="s">
        <v>54</v>
      </c>
      <c r="C2" s="42" t="s">
        <v>55</v>
      </c>
      <c r="E2" s="42" t="s">
        <v>56</v>
      </c>
      <c r="F2" s="42" t="s">
        <v>57</v>
      </c>
    </row>
    <row r="3" spans="1:6" x14ac:dyDescent="0.2">
      <c r="A3" t="s">
        <v>50</v>
      </c>
      <c r="B3" s="101">
        <f>IF(SUM('Sheet 1'!B4:B23)='Sheet 1'!B24,0,1)</f>
        <v>0</v>
      </c>
      <c r="C3" s="101">
        <f>IF(SUM('Sheet 1'!C4:C23)='Sheet 1'!C24,0,1)</f>
        <v>0</v>
      </c>
      <c r="D3" s="101"/>
      <c r="E3" s="101">
        <f>IF(SUM('Sheet 1'!H4:H22)='Sheet 1'!H24,0,1)</f>
        <v>1</v>
      </c>
      <c r="F3" s="101">
        <f>IF(SUM('Sheet 1'!I4:I22)='Sheet 1'!I24,0,1)</f>
        <v>1</v>
      </c>
    </row>
    <row r="4" spans="1:6" x14ac:dyDescent="0.2">
      <c r="A4" t="s">
        <v>51</v>
      </c>
      <c r="B4" s="101">
        <f>IF((SUM('Sheet 1'!B$24:B$26))=('Sheet 1'!B$27),0,1)</f>
        <v>0</v>
      </c>
      <c r="C4" s="101">
        <f>IF((SUM('Sheet 1'!C$24:C$26))=('Sheet 1'!C$27),0,1)</f>
        <v>0</v>
      </c>
      <c r="D4" s="101"/>
      <c r="E4" s="101">
        <f>IF((SUM('Sheet 1'!H$24:H$26))=('Sheet 1'!H$27),0,1)</f>
        <v>0</v>
      </c>
      <c r="F4" s="101">
        <f>IF((SUM('Sheet 1'!I$24:I$26))=('Sheet 1'!I$27),0,1)</f>
        <v>0</v>
      </c>
    </row>
    <row r="5" spans="1:6" x14ac:dyDescent="0.2">
      <c r="B5" s="101"/>
      <c r="C5" s="101"/>
      <c r="D5" s="101"/>
      <c r="E5" s="101"/>
      <c r="F5" s="101"/>
    </row>
    <row r="6" spans="1:6" x14ac:dyDescent="0.2">
      <c r="A6" t="s">
        <v>52</v>
      </c>
      <c r="B6" s="101"/>
      <c r="C6" s="101"/>
      <c r="D6" s="101"/>
      <c r="E6" s="101">
        <f>IF(SUM('Sheet 1'!B36:B41)='Sheet 1'!H24,0,1)</f>
        <v>1</v>
      </c>
      <c r="F6" s="101">
        <f>IF(SUM('Sheet 1'!C36:C41)='Sheet 1'!I24,0,1)</f>
        <v>1</v>
      </c>
    </row>
    <row r="7" spans="1:6" x14ac:dyDescent="0.2">
      <c r="B7" s="101"/>
      <c r="C7" s="101"/>
      <c r="D7" s="101"/>
      <c r="E7" s="101"/>
      <c r="F7" s="101"/>
    </row>
    <row r="8" spans="1:6" x14ac:dyDescent="0.2">
      <c r="A8" t="s">
        <v>53</v>
      </c>
      <c r="B8" s="101">
        <f>IF(SUM('Sheet 1'!H35,'Sheet 1'!H41)='Sheet 1'!B24,0,1)</f>
        <v>0</v>
      </c>
      <c r="C8" s="101">
        <f>IF(SUM('Sheet 1'!I35,'Sheet 1'!I41)='Sheet 1'!C24,0,1)</f>
        <v>1</v>
      </c>
      <c r="D8" s="101"/>
      <c r="E8" s="101">
        <f>IF(SUM('Sheet 1'!H34,'Sheet 1'!H40)='Sheet 1'!H24,0,1)</f>
        <v>0</v>
      </c>
      <c r="F8" s="101">
        <f>IF(SUM('Sheet 1'!I34,'Sheet 1'!I40)='Sheet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2018-12-18T23:00:09Z</cp:lastPrinted>
  <dcterms:created xsi:type="dcterms:W3CDTF">2005-01-11T16:04:59Z</dcterms:created>
  <dcterms:modified xsi:type="dcterms:W3CDTF">2019-04-10T18:06:35Z</dcterms:modified>
</cp:coreProperties>
</file>